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b-my.sharepoint.com/personal/bur0082_vsb_cz/Documents/Plocha/Zakazky_2026/02_VZMR_Rekonstrukce_mistnosti_RD110/01_ZP/"/>
    </mc:Choice>
  </mc:AlternateContent>
  <xr:revisionPtr revIDLastSave="0" documentId="13_ncr:1_{9F77C704-D9DB-4760-B0B1-BB6444289D8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Krycí list rozpočtu" sheetId="3" r:id="rId1"/>
    <sheet name="Stavební rozpočet - součet" sheetId="2" r:id="rId2"/>
    <sheet name="Stavební rozpočet" sheetId="5" r:id="rId3"/>
    <sheet name=" VZT " sheetId="9" r:id="rId4"/>
    <sheet name="Vybavení laboratoře" sheetId="10" r:id="rId5"/>
    <sheet name="ELektro MAR " sheetId="8" r:id="rId6"/>
    <sheet name="VORN" sheetId="4" r:id="rId7"/>
  </sheets>
  <externalReferences>
    <externalReference r:id="rId8"/>
  </externalReferences>
  <definedNames>
    <definedName name="vorn_sum" localSheetId="3">[1]VORN!$I$45</definedName>
    <definedName name="vorn_sum" localSheetId="5">[1]VORN!$I$45</definedName>
    <definedName name="vorn_sum" localSheetId="4">[1]VORN!$I$45</definedName>
    <definedName name="vorn_sum">VORN!$I$33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5" l="1"/>
  <c r="I22" i="10" l="1"/>
  <c r="J22" i="10" s="1"/>
  <c r="I20" i="10"/>
  <c r="J20" i="10" s="1"/>
  <c r="I19" i="10"/>
  <c r="J19" i="10" s="1"/>
  <c r="K32" i="5"/>
  <c r="H18" i="10"/>
  <c r="J18" i="10" s="1"/>
  <c r="H17" i="10"/>
  <c r="J17" i="10" s="1"/>
  <c r="H16" i="10"/>
  <c r="J16" i="10" s="1"/>
  <c r="H15" i="10"/>
  <c r="J15" i="10" s="1"/>
  <c r="H14" i="10"/>
  <c r="J14" i="10" s="1"/>
  <c r="H13" i="10"/>
  <c r="D4" i="10"/>
  <c r="J13" i="10" l="1"/>
  <c r="H12" i="10"/>
  <c r="I33" i="5" s="1"/>
  <c r="I12" i="10"/>
  <c r="J33" i="5" s="1"/>
  <c r="J12" i="10"/>
  <c r="I21" i="10"/>
  <c r="J21" i="10"/>
  <c r="J23" i="10" l="1"/>
  <c r="I39" i="8"/>
  <c r="I50" i="9"/>
  <c r="I47" i="9" s="1"/>
  <c r="H49" i="9"/>
  <c r="J49" i="9" s="1"/>
  <c r="H48" i="9"/>
  <c r="J48" i="9" s="1"/>
  <c r="I46" i="9"/>
  <c r="J46" i="9" s="1"/>
  <c r="H39" i="9"/>
  <c r="H40" i="9"/>
  <c r="H41" i="9"/>
  <c r="H42" i="9"/>
  <c r="H43" i="9"/>
  <c r="H44" i="9"/>
  <c r="H45" i="9"/>
  <c r="H26" i="9"/>
  <c r="H18" i="9"/>
  <c r="H25" i="9"/>
  <c r="H27" i="9"/>
  <c r="H33" i="5" l="1"/>
  <c r="K33" i="5" s="1"/>
  <c r="J50" i="9"/>
  <c r="J47" i="9" s="1"/>
  <c r="H47" i="9"/>
  <c r="D4" i="9" l="1"/>
  <c r="I55" i="9"/>
  <c r="J55" i="9" s="1"/>
  <c r="I54" i="9"/>
  <c r="J54" i="9" s="1"/>
  <c r="I53" i="9"/>
  <c r="J53" i="9" s="1"/>
  <c r="I52" i="9"/>
  <c r="J45" i="9"/>
  <c r="J44" i="9"/>
  <c r="J43" i="9"/>
  <c r="J42" i="9"/>
  <c r="J41" i="9"/>
  <c r="J40" i="9"/>
  <c r="J39" i="9"/>
  <c r="H38" i="9"/>
  <c r="J38" i="9" s="1"/>
  <c r="H37" i="9"/>
  <c r="J37" i="9" s="1"/>
  <c r="H36" i="9"/>
  <c r="J36" i="9" s="1"/>
  <c r="I34" i="9"/>
  <c r="J34" i="9" s="1"/>
  <c r="H33" i="9"/>
  <c r="J33" i="9" s="1"/>
  <c r="H32" i="9"/>
  <c r="J32" i="9" s="1"/>
  <c r="H31" i="9"/>
  <c r="J31" i="9" s="1"/>
  <c r="H30" i="9"/>
  <c r="J30" i="9" s="1"/>
  <c r="H29" i="9"/>
  <c r="J29" i="9" s="1"/>
  <c r="H28" i="9"/>
  <c r="J28" i="9" s="1"/>
  <c r="J27" i="9"/>
  <c r="J26" i="9"/>
  <c r="J25" i="9"/>
  <c r="I24" i="9"/>
  <c r="J24" i="9" s="1"/>
  <c r="H23" i="9"/>
  <c r="J23" i="9" s="1"/>
  <c r="H22" i="9"/>
  <c r="J22" i="9" s="1"/>
  <c r="H21" i="9"/>
  <c r="J21" i="9" s="1"/>
  <c r="H20" i="9"/>
  <c r="J20" i="9" s="1"/>
  <c r="H19" i="9"/>
  <c r="J19" i="9" s="1"/>
  <c r="J18" i="9"/>
  <c r="H17" i="9"/>
  <c r="J17" i="9" s="1"/>
  <c r="H16" i="9"/>
  <c r="J16" i="9" s="1"/>
  <c r="H15" i="9"/>
  <c r="J15" i="9" s="1"/>
  <c r="H14" i="9"/>
  <c r="J14" i="9" s="1"/>
  <c r="H13" i="9"/>
  <c r="J13" i="9" l="1"/>
  <c r="H12" i="9"/>
  <c r="J52" i="9"/>
  <c r="J51" i="9" s="1"/>
  <c r="I51" i="9"/>
  <c r="J12" i="9"/>
  <c r="J35" i="9"/>
  <c r="H35" i="9"/>
  <c r="H56" i="9" s="1"/>
  <c r="D27" i="2" s="1"/>
  <c r="I35" i="9"/>
  <c r="I12" i="9"/>
  <c r="I56" i="9" l="1"/>
  <c r="J57" i="9"/>
  <c r="H109" i="5" s="1"/>
  <c r="F46" i="8"/>
  <c r="F45" i="8"/>
  <c r="H45" i="8" s="1"/>
  <c r="J45" i="8" s="1"/>
  <c r="F44" i="8"/>
  <c r="H44" i="8" s="1"/>
  <c r="F43" i="8"/>
  <c r="H43" i="8"/>
  <c r="J43" i="8" s="1"/>
  <c r="H14" i="8"/>
  <c r="J14" i="8" s="1"/>
  <c r="H15" i="8"/>
  <c r="J15" i="8" s="1"/>
  <c r="H16" i="8"/>
  <c r="J16" i="8" s="1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J39" i="8"/>
  <c r="H40" i="8"/>
  <c r="J40" i="8" s="1"/>
  <c r="H41" i="8"/>
  <c r="J41" i="8" s="1"/>
  <c r="H13" i="8"/>
  <c r="J13" i="8" s="1"/>
  <c r="D4" i="8"/>
  <c r="D2" i="8"/>
  <c r="I53" i="8"/>
  <c r="J53" i="8" s="1"/>
  <c r="I52" i="8"/>
  <c r="J52" i="8" s="1"/>
  <c r="I51" i="8"/>
  <c r="J51" i="8" s="1"/>
  <c r="I50" i="8"/>
  <c r="I49" i="8"/>
  <c r="J49" i="8" s="1"/>
  <c r="I48" i="8"/>
  <c r="J48" i="8" s="1"/>
  <c r="H47" i="8"/>
  <c r="H46" i="8"/>
  <c r="J46" i="8" s="1"/>
  <c r="I12" i="8"/>
  <c r="E27" i="2" l="1"/>
  <c r="J109" i="5"/>
  <c r="H12" i="8"/>
  <c r="I47" i="8"/>
  <c r="I54" i="8" s="1"/>
  <c r="J50" i="8"/>
  <c r="J47" i="8" s="1"/>
  <c r="H42" i="8"/>
  <c r="H54" i="8" s="1"/>
  <c r="J12" i="8"/>
  <c r="J44" i="8"/>
  <c r="J42" i="8" s="1"/>
  <c r="E22" i="2" l="1"/>
  <c r="C19" i="3" s="1"/>
  <c r="K74" i="5"/>
  <c r="D22" i="2"/>
  <c r="C18" i="3" s="1"/>
  <c r="I74" i="5"/>
  <c r="J55" i="8"/>
  <c r="H74" i="5" s="1"/>
  <c r="AK109" i="5" l="1"/>
  <c r="AT108" i="5" s="1"/>
  <c r="AJ109" i="5"/>
  <c r="AS108" i="5" s="1"/>
  <c r="AH109" i="5"/>
  <c r="AG109" i="5"/>
  <c r="AF109" i="5"/>
  <c r="AC109" i="5"/>
  <c r="AB109" i="5"/>
  <c r="Z109" i="5"/>
  <c r="AP109" i="5"/>
  <c r="AK107" i="5"/>
  <c r="AJ107" i="5"/>
  <c r="AH107" i="5"/>
  <c r="AG107" i="5"/>
  <c r="AF107" i="5"/>
  <c r="AE107" i="5"/>
  <c r="AD107" i="5"/>
  <c r="AC107" i="5"/>
  <c r="AB107" i="5"/>
  <c r="AO107" i="5"/>
  <c r="AK106" i="5"/>
  <c r="AJ106" i="5"/>
  <c r="AH106" i="5"/>
  <c r="AG106" i="5"/>
  <c r="AF106" i="5"/>
  <c r="AC106" i="5"/>
  <c r="AB106" i="5"/>
  <c r="Z106" i="5"/>
  <c r="AP106" i="5"/>
  <c r="AK105" i="5"/>
  <c r="AJ105" i="5"/>
  <c r="AH105" i="5"/>
  <c r="AG105" i="5"/>
  <c r="AF105" i="5"/>
  <c r="AC105" i="5"/>
  <c r="AB105" i="5"/>
  <c r="Z105" i="5"/>
  <c r="AO105" i="5"/>
  <c r="AK104" i="5"/>
  <c r="AJ104" i="5"/>
  <c r="AH104" i="5"/>
  <c r="AG104" i="5"/>
  <c r="AF104" i="5"/>
  <c r="AC104" i="5"/>
  <c r="AB104" i="5"/>
  <c r="Z104" i="5"/>
  <c r="AP104" i="5"/>
  <c r="AK103" i="5"/>
  <c r="AJ103" i="5"/>
  <c r="AH103" i="5"/>
  <c r="AG103" i="5"/>
  <c r="AF103" i="5"/>
  <c r="AC103" i="5"/>
  <c r="AB103" i="5"/>
  <c r="Z103" i="5"/>
  <c r="AO103" i="5"/>
  <c r="AK102" i="5"/>
  <c r="AJ102" i="5"/>
  <c r="AH102" i="5"/>
  <c r="AG102" i="5"/>
  <c r="AF102" i="5"/>
  <c r="AC102" i="5"/>
  <c r="AB102" i="5"/>
  <c r="Z102" i="5"/>
  <c r="AP102" i="5"/>
  <c r="M102" i="5"/>
  <c r="BF102" i="5" s="1"/>
  <c r="AK101" i="5"/>
  <c r="AJ101" i="5"/>
  <c r="AH101" i="5"/>
  <c r="AG101" i="5"/>
  <c r="AF101" i="5"/>
  <c r="AC101" i="5"/>
  <c r="AB101" i="5"/>
  <c r="Z101" i="5"/>
  <c r="AO101" i="5"/>
  <c r="AK100" i="5"/>
  <c r="AJ100" i="5"/>
  <c r="AH100" i="5"/>
  <c r="AG100" i="5"/>
  <c r="AF100" i="5"/>
  <c r="AC100" i="5"/>
  <c r="AB100" i="5"/>
  <c r="Z100" i="5"/>
  <c r="AP100" i="5"/>
  <c r="AK99" i="5"/>
  <c r="AJ99" i="5"/>
  <c r="AH99" i="5"/>
  <c r="AG99" i="5"/>
  <c r="AF99" i="5"/>
  <c r="AC99" i="5"/>
  <c r="AB99" i="5"/>
  <c r="Z99" i="5"/>
  <c r="AO99" i="5"/>
  <c r="AK98" i="5"/>
  <c r="AJ98" i="5"/>
  <c r="AH98" i="5"/>
  <c r="AG98" i="5"/>
  <c r="AF98" i="5"/>
  <c r="AC98" i="5"/>
  <c r="AB98" i="5"/>
  <c r="Z98" i="5"/>
  <c r="AP98" i="5"/>
  <c r="M98" i="5"/>
  <c r="BF98" i="5" s="1"/>
  <c r="AK97" i="5"/>
  <c r="AJ97" i="5"/>
  <c r="AH97" i="5"/>
  <c r="AG97" i="5"/>
  <c r="AF97" i="5"/>
  <c r="AC97" i="5"/>
  <c r="AB97" i="5"/>
  <c r="Z97" i="5"/>
  <c r="AO97" i="5"/>
  <c r="AK95" i="5"/>
  <c r="AJ95" i="5"/>
  <c r="AH95" i="5"/>
  <c r="AG95" i="5"/>
  <c r="AF95" i="5"/>
  <c r="AC95" i="5"/>
  <c r="AB95" i="5"/>
  <c r="Z95" i="5"/>
  <c r="AO95" i="5"/>
  <c r="AK94" i="5"/>
  <c r="AJ94" i="5"/>
  <c r="AH94" i="5"/>
  <c r="AG94" i="5"/>
  <c r="AF94" i="5"/>
  <c r="AC94" i="5"/>
  <c r="AB94" i="5"/>
  <c r="Z94" i="5"/>
  <c r="BD94" i="5"/>
  <c r="AK93" i="5"/>
  <c r="AJ93" i="5"/>
  <c r="AH93" i="5"/>
  <c r="AG93" i="5"/>
  <c r="AF93" i="5"/>
  <c r="AC93" i="5"/>
  <c r="AB93" i="5"/>
  <c r="Z93" i="5"/>
  <c r="AO93" i="5"/>
  <c r="M93" i="5"/>
  <c r="BF93" i="5" s="1"/>
  <c r="AK92" i="5"/>
  <c r="AJ92" i="5"/>
  <c r="AH92" i="5"/>
  <c r="AG92" i="5"/>
  <c r="AF92" i="5"/>
  <c r="AC92" i="5"/>
  <c r="AB92" i="5"/>
  <c r="Z92" i="5"/>
  <c r="AK90" i="5"/>
  <c r="AJ90" i="5"/>
  <c r="AH90" i="5"/>
  <c r="AG90" i="5"/>
  <c r="AF90" i="5"/>
  <c r="AC90" i="5"/>
  <c r="AB90" i="5"/>
  <c r="Z90" i="5"/>
  <c r="M90" i="5"/>
  <c r="BF90" i="5" s="1"/>
  <c r="AK89" i="5"/>
  <c r="AJ89" i="5"/>
  <c r="AH89" i="5"/>
  <c r="AG89" i="5"/>
  <c r="AF89" i="5"/>
  <c r="AC89" i="5"/>
  <c r="AB89" i="5"/>
  <c r="Z89" i="5"/>
  <c r="AO89" i="5"/>
  <c r="M89" i="5"/>
  <c r="BF89" i="5" s="1"/>
  <c r="AK88" i="5"/>
  <c r="AJ88" i="5"/>
  <c r="AH88" i="5"/>
  <c r="AG88" i="5"/>
  <c r="AF88" i="5"/>
  <c r="AC88" i="5"/>
  <c r="AB88" i="5"/>
  <c r="Z88" i="5"/>
  <c r="BD88" i="5"/>
  <c r="AK87" i="5"/>
  <c r="AJ87" i="5"/>
  <c r="AH87" i="5"/>
  <c r="AG87" i="5"/>
  <c r="AF87" i="5"/>
  <c r="AC87" i="5"/>
  <c r="AB87" i="5"/>
  <c r="Z87" i="5"/>
  <c r="AP87" i="5"/>
  <c r="AK86" i="5"/>
  <c r="AJ86" i="5"/>
  <c r="AH86" i="5"/>
  <c r="AG86" i="5"/>
  <c r="AF86" i="5"/>
  <c r="AC86" i="5"/>
  <c r="AB86" i="5"/>
  <c r="Z86" i="5"/>
  <c r="M86" i="5"/>
  <c r="BF86" i="5" s="1"/>
  <c r="AK85" i="5"/>
  <c r="AJ85" i="5"/>
  <c r="AH85" i="5"/>
  <c r="AG85" i="5"/>
  <c r="AF85" i="5"/>
  <c r="AC85" i="5"/>
  <c r="AB85" i="5"/>
  <c r="Z85" i="5"/>
  <c r="AP85" i="5"/>
  <c r="AK83" i="5"/>
  <c r="AJ83" i="5"/>
  <c r="AH83" i="5"/>
  <c r="AG83" i="5"/>
  <c r="AF83" i="5"/>
  <c r="AE83" i="5"/>
  <c r="AD83" i="5"/>
  <c r="AC83" i="5"/>
  <c r="AB83" i="5"/>
  <c r="AO83" i="5"/>
  <c r="AK82" i="5"/>
  <c r="AJ82" i="5"/>
  <c r="AH82" i="5"/>
  <c r="AG82" i="5"/>
  <c r="AF82" i="5"/>
  <c r="AE82" i="5"/>
  <c r="AD82" i="5"/>
  <c r="AC82" i="5"/>
  <c r="AB82" i="5"/>
  <c r="AP82" i="5"/>
  <c r="M82" i="5"/>
  <c r="BF82" i="5" s="1"/>
  <c r="AK81" i="5"/>
  <c r="AJ81" i="5"/>
  <c r="AH81" i="5"/>
  <c r="AG81" i="5"/>
  <c r="AF81" i="5"/>
  <c r="AE81" i="5"/>
  <c r="AD81" i="5"/>
  <c r="AC81" i="5"/>
  <c r="AB81" i="5"/>
  <c r="AK80" i="5"/>
  <c r="AJ80" i="5"/>
  <c r="AH80" i="5"/>
  <c r="AG80" i="5"/>
  <c r="AF80" i="5"/>
  <c r="AE80" i="5"/>
  <c r="AD80" i="5"/>
  <c r="AC80" i="5"/>
  <c r="AB80" i="5"/>
  <c r="AP80" i="5"/>
  <c r="AK79" i="5"/>
  <c r="AJ79" i="5"/>
  <c r="AH79" i="5"/>
  <c r="AG79" i="5"/>
  <c r="AF79" i="5"/>
  <c r="AE79" i="5"/>
  <c r="AD79" i="5"/>
  <c r="AC79" i="5"/>
  <c r="AB79" i="5"/>
  <c r="BD79" i="5"/>
  <c r="AK78" i="5"/>
  <c r="AJ78" i="5"/>
  <c r="AH78" i="5"/>
  <c r="AG78" i="5"/>
  <c r="AF78" i="5"/>
  <c r="AE78" i="5"/>
  <c r="AD78" i="5"/>
  <c r="AC78" i="5"/>
  <c r="AB78" i="5"/>
  <c r="AP78" i="5"/>
  <c r="AK77" i="5"/>
  <c r="AJ77" i="5"/>
  <c r="AH77" i="5"/>
  <c r="AG77" i="5"/>
  <c r="AF77" i="5"/>
  <c r="AE77" i="5"/>
  <c r="AD77" i="5"/>
  <c r="AC77" i="5"/>
  <c r="AB77" i="5"/>
  <c r="M77" i="5"/>
  <c r="BF77" i="5" s="1"/>
  <c r="AK76" i="5"/>
  <c r="AJ76" i="5"/>
  <c r="AH76" i="5"/>
  <c r="AG76" i="5"/>
  <c r="AF76" i="5"/>
  <c r="AE76" i="5"/>
  <c r="AD76" i="5"/>
  <c r="AC76" i="5"/>
  <c r="AB76" i="5"/>
  <c r="AP76" i="5"/>
  <c r="M76" i="5"/>
  <c r="AP74" i="5"/>
  <c r="AK74" i="5"/>
  <c r="AT73" i="5" s="1"/>
  <c r="AJ74" i="5"/>
  <c r="AS73" i="5" s="1"/>
  <c r="AH74" i="5"/>
  <c r="AE74" i="5"/>
  <c r="AD74" i="5"/>
  <c r="AC74" i="5"/>
  <c r="AB74" i="5"/>
  <c r="Z74" i="5"/>
  <c r="BD74" i="5"/>
  <c r="AK72" i="5"/>
  <c r="AJ72" i="5"/>
  <c r="AH72" i="5"/>
  <c r="AG72" i="5"/>
  <c r="AF72" i="5"/>
  <c r="AE72" i="5"/>
  <c r="AD72" i="5"/>
  <c r="Z72" i="5"/>
  <c r="AO72" i="5"/>
  <c r="AK71" i="5"/>
  <c r="AJ71" i="5"/>
  <c r="AH71" i="5"/>
  <c r="AG71" i="5"/>
  <c r="AF71" i="5"/>
  <c r="AE71" i="5"/>
  <c r="AD71" i="5"/>
  <c r="Z71" i="5"/>
  <c r="BD71" i="5"/>
  <c r="AK70" i="5"/>
  <c r="AJ70" i="5"/>
  <c r="AH70" i="5"/>
  <c r="AG70" i="5"/>
  <c r="AF70" i="5"/>
  <c r="AE70" i="5"/>
  <c r="AD70" i="5"/>
  <c r="Z70" i="5"/>
  <c r="AO70" i="5"/>
  <c r="AK69" i="5"/>
  <c r="AJ69" i="5"/>
  <c r="AH69" i="5"/>
  <c r="AG69" i="5"/>
  <c r="AF69" i="5"/>
  <c r="AE69" i="5"/>
  <c r="AD69" i="5"/>
  <c r="Z69" i="5"/>
  <c r="BD69" i="5"/>
  <c r="AK68" i="5"/>
  <c r="AJ68" i="5"/>
  <c r="AH68" i="5"/>
  <c r="AG68" i="5"/>
  <c r="AF68" i="5"/>
  <c r="AE68" i="5"/>
  <c r="AD68" i="5"/>
  <c r="Z68" i="5"/>
  <c r="M68" i="5"/>
  <c r="BF68" i="5" s="1"/>
  <c r="AK67" i="5"/>
  <c r="AJ67" i="5"/>
  <c r="AH67" i="5"/>
  <c r="AG67" i="5"/>
  <c r="AF67" i="5"/>
  <c r="AE67" i="5"/>
  <c r="AD67" i="5"/>
  <c r="Z67" i="5"/>
  <c r="AO67" i="5"/>
  <c r="AK66" i="5"/>
  <c r="AJ66" i="5"/>
  <c r="AH66" i="5"/>
  <c r="AG66" i="5"/>
  <c r="AF66" i="5"/>
  <c r="AE66" i="5"/>
  <c r="AD66" i="5"/>
  <c r="Z66" i="5"/>
  <c r="AO66" i="5"/>
  <c r="M66" i="5"/>
  <c r="BF66" i="5" s="1"/>
  <c r="AK65" i="5"/>
  <c r="AJ65" i="5"/>
  <c r="AH65" i="5"/>
  <c r="AG65" i="5"/>
  <c r="AF65" i="5"/>
  <c r="AE65" i="5"/>
  <c r="AD65" i="5"/>
  <c r="Z65" i="5"/>
  <c r="AO65" i="5"/>
  <c r="AK64" i="5"/>
  <c r="AJ64" i="5"/>
  <c r="AH64" i="5"/>
  <c r="AG64" i="5"/>
  <c r="AF64" i="5"/>
  <c r="AE64" i="5"/>
  <c r="AD64" i="5"/>
  <c r="Z64" i="5"/>
  <c r="AO64" i="5"/>
  <c r="AK63" i="5"/>
  <c r="AJ63" i="5"/>
  <c r="AH63" i="5"/>
  <c r="AG63" i="5"/>
  <c r="AF63" i="5"/>
  <c r="AE63" i="5"/>
  <c r="AD63" i="5"/>
  <c r="Z63" i="5"/>
  <c r="M63" i="5"/>
  <c r="BF63" i="5" s="1"/>
  <c r="AK61" i="5"/>
  <c r="AT60" i="5" s="1"/>
  <c r="AJ61" i="5"/>
  <c r="AS60" i="5" s="1"/>
  <c r="AH61" i="5"/>
  <c r="AG61" i="5"/>
  <c r="AF61" i="5"/>
  <c r="AE61" i="5"/>
  <c r="AD61" i="5"/>
  <c r="Z61" i="5"/>
  <c r="AP61" i="5"/>
  <c r="M61" i="5"/>
  <c r="AK59" i="5"/>
  <c r="AJ59" i="5"/>
  <c r="AH59" i="5"/>
  <c r="AG59" i="5"/>
  <c r="AF59" i="5"/>
  <c r="AC59" i="5"/>
  <c r="AB59" i="5"/>
  <c r="Z59" i="5"/>
  <c r="AO59" i="5"/>
  <c r="AK58" i="5"/>
  <c r="AJ58" i="5"/>
  <c r="AH58" i="5"/>
  <c r="AG58" i="5"/>
  <c r="AF58" i="5"/>
  <c r="AC58" i="5"/>
  <c r="AB58" i="5"/>
  <c r="Z58" i="5"/>
  <c r="AP58" i="5"/>
  <c r="AK57" i="5"/>
  <c r="AJ57" i="5"/>
  <c r="AH57" i="5"/>
  <c r="AG57" i="5"/>
  <c r="AF57" i="5"/>
  <c r="AC57" i="5"/>
  <c r="AB57" i="5"/>
  <c r="Z57" i="5"/>
  <c r="AO57" i="5"/>
  <c r="AK56" i="5"/>
  <c r="AJ56" i="5"/>
  <c r="AH56" i="5"/>
  <c r="AG56" i="5"/>
  <c r="AF56" i="5"/>
  <c r="AC56" i="5"/>
  <c r="AB56" i="5"/>
  <c r="Z56" i="5"/>
  <c r="AP56" i="5"/>
  <c r="AK55" i="5"/>
  <c r="AJ55" i="5"/>
  <c r="AH55" i="5"/>
  <c r="AG55" i="5"/>
  <c r="AF55" i="5"/>
  <c r="AC55" i="5"/>
  <c r="AB55" i="5"/>
  <c r="Z55" i="5"/>
  <c r="AO55" i="5"/>
  <c r="AK54" i="5"/>
  <c r="AJ54" i="5"/>
  <c r="AH54" i="5"/>
  <c r="AG54" i="5"/>
  <c r="AF54" i="5"/>
  <c r="AC54" i="5"/>
  <c r="AB54" i="5"/>
  <c r="Z54" i="5"/>
  <c r="AP54" i="5"/>
  <c r="AK53" i="5"/>
  <c r="AJ53" i="5"/>
  <c r="AH53" i="5"/>
  <c r="AG53" i="5"/>
  <c r="AF53" i="5"/>
  <c r="AC53" i="5"/>
  <c r="AB53" i="5"/>
  <c r="Z53" i="5"/>
  <c r="AO53" i="5"/>
  <c r="AK51" i="5"/>
  <c r="AJ51" i="5"/>
  <c r="AH51" i="5"/>
  <c r="AG51" i="5"/>
  <c r="AF51" i="5"/>
  <c r="AE51" i="5"/>
  <c r="AD51" i="5"/>
  <c r="AC51" i="5"/>
  <c r="AB51" i="5"/>
  <c r="AP51" i="5"/>
  <c r="AK50" i="5"/>
  <c r="AJ50" i="5"/>
  <c r="AH50" i="5"/>
  <c r="AG50" i="5"/>
  <c r="AF50" i="5"/>
  <c r="AC50" i="5"/>
  <c r="AB50" i="5"/>
  <c r="Z50" i="5"/>
  <c r="AK49" i="5"/>
  <c r="AJ49" i="5"/>
  <c r="AH49" i="5"/>
  <c r="AG49" i="5"/>
  <c r="AF49" i="5"/>
  <c r="AC49" i="5"/>
  <c r="AB49" i="5"/>
  <c r="Z49" i="5"/>
  <c r="BD49" i="5"/>
  <c r="M49" i="5"/>
  <c r="BF49" i="5" s="1"/>
  <c r="AK48" i="5"/>
  <c r="AJ48" i="5"/>
  <c r="AH48" i="5"/>
  <c r="AG48" i="5"/>
  <c r="AF48" i="5"/>
  <c r="AC48" i="5"/>
  <c r="AB48" i="5"/>
  <c r="Z48" i="5"/>
  <c r="AO48" i="5"/>
  <c r="AK46" i="5"/>
  <c r="AJ46" i="5"/>
  <c r="AH46" i="5"/>
  <c r="AG46" i="5"/>
  <c r="AF46" i="5"/>
  <c r="AC46" i="5"/>
  <c r="AB46" i="5"/>
  <c r="Z46" i="5"/>
  <c r="AP46" i="5"/>
  <c r="AK45" i="5"/>
  <c r="AJ45" i="5"/>
  <c r="AH45" i="5"/>
  <c r="AG45" i="5"/>
  <c r="AF45" i="5"/>
  <c r="AC45" i="5"/>
  <c r="AB45" i="5"/>
  <c r="Z45" i="5"/>
  <c r="AP45" i="5"/>
  <c r="AK43" i="5"/>
  <c r="AJ43" i="5"/>
  <c r="AH43" i="5"/>
  <c r="AG43" i="5"/>
  <c r="AF43" i="5"/>
  <c r="AE43" i="5"/>
  <c r="AD43" i="5"/>
  <c r="AC43" i="5"/>
  <c r="AB43" i="5"/>
  <c r="AO43" i="5"/>
  <c r="AK42" i="5"/>
  <c r="AJ42" i="5"/>
  <c r="AH42" i="5"/>
  <c r="AG42" i="5"/>
  <c r="AF42" i="5"/>
  <c r="AC42" i="5"/>
  <c r="AB42" i="5"/>
  <c r="Z42" i="5"/>
  <c r="AO42" i="5"/>
  <c r="AK41" i="5"/>
  <c r="AJ41" i="5"/>
  <c r="AH41" i="5"/>
  <c r="AG41" i="5"/>
  <c r="AF41" i="5"/>
  <c r="AC41" i="5"/>
  <c r="AB41" i="5"/>
  <c r="Z41" i="5"/>
  <c r="AO41" i="5"/>
  <c r="AK40" i="5"/>
  <c r="AJ40" i="5"/>
  <c r="AH40" i="5"/>
  <c r="AG40" i="5"/>
  <c r="AF40" i="5"/>
  <c r="AC40" i="5"/>
  <c r="AB40" i="5"/>
  <c r="Z40" i="5"/>
  <c r="AO40" i="5"/>
  <c r="M40" i="5"/>
  <c r="BF40" i="5" s="1"/>
  <c r="AK39" i="5"/>
  <c r="AJ39" i="5"/>
  <c r="AH39" i="5"/>
  <c r="AG39" i="5"/>
  <c r="AF39" i="5"/>
  <c r="AC39" i="5"/>
  <c r="AB39" i="5"/>
  <c r="Z39" i="5"/>
  <c r="AP39" i="5"/>
  <c r="AK38" i="5"/>
  <c r="AJ38" i="5"/>
  <c r="AH38" i="5"/>
  <c r="AG38" i="5"/>
  <c r="AF38" i="5"/>
  <c r="AC38" i="5"/>
  <c r="AB38" i="5"/>
  <c r="Z38" i="5"/>
  <c r="AO38" i="5"/>
  <c r="AK37" i="5"/>
  <c r="AJ37" i="5"/>
  <c r="AH37" i="5"/>
  <c r="AG37" i="5"/>
  <c r="AF37" i="5"/>
  <c r="AC37" i="5"/>
  <c r="AB37" i="5"/>
  <c r="Z37" i="5"/>
  <c r="AP37" i="5"/>
  <c r="J37" i="5" s="1"/>
  <c r="AK36" i="5"/>
  <c r="AJ36" i="5"/>
  <c r="AH36" i="5"/>
  <c r="AG36" i="5"/>
  <c r="AF36" i="5"/>
  <c r="AC36" i="5"/>
  <c r="AB36" i="5"/>
  <c r="Z36" i="5"/>
  <c r="AO36" i="5"/>
  <c r="AK34" i="5"/>
  <c r="AJ34" i="5"/>
  <c r="AH34" i="5"/>
  <c r="AG34" i="5"/>
  <c r="AF34" i="5"/>
  <c r="AE34" i="5"/>
  <c r="AD34" i="5"/>
  <c r="AC34" i="5"/>
  <c r="AB34" i="5"/>
  <c r="AO34" i="5"/>
  <c r="M34" i="5"/>
  <c r="BF34" i="5" s="1"/>
  <c r="AK32" i="5"/>
  <c r="AJ32" i="5"/>
  <c r="AH32" i="5"/>
  <c r="AG32" i="5"/>
  <c r="AF32" i="5"/>
  <c r="AC32" i="5"/>
  <c r="AB32" i="5"/>
  <c r="Z32" i="5"/>
  <c r="AP32" i="5"/>
  <c r="AK31" i="5"/>
  <c r="AJ31" i="5"/>
  <c r="AH31" i="5"/>
  <c r="AG31" i="5"/>
  <c r="AF31" i="5"/>
  <c r="AC31" i="5"/>
  <c r="AB31" i="5"/>
  <c r="Z31" i="5"/>
  <c r="AO31" i="5"/>
  <c r="M31" i="5"/>
  <c r="BF31" i="5" s="1"/>
  <c r="AK30" i="5"/>
  <c r="AJ30" i="5"/>
  <c r="AH30" i="5"/>
  <c r="AG30" i="5"/>
  <c r="AF30" i="5"/>
  <c r="AC30" i="5"/>
  <c r="AB30" i="5"/>
  <c r="Z30" i="5"/>
  <c r="AP30" i="5"/>
  <c r="M30" i="5"/>
  <c r="BF30" i="5" s="1"/>
  <c r="AK29" i="5"/>
  <c r="AJ29" i="5"/>
  <c r="AH29" i="5"/>
  <c r="AG29" i="5"/>
  <c r="AF29" i="5"/>
  <c r="AC29" i="5"/>
  <c r="AB29" i="5"/>
  <c r="Z29" i="5"/>
  <c r="AO29" i="5"/>
  <c r="M29" i="5"/>
  <c r="BF29" i="5" s="1"/>
  <c r="AK28" i="5"/>
  <c r="AJ28" i="5"/>
  <c r="AH28" i="5"/>
  <c r="AG28" i="5"/>
  <c r="AF28" i="5"/>
  <c r="AC28" i="5"/>
  <c r="AB28" i="5"/>
  <c r="Z28" i="5"/>
  <c r="AO28" i="5"/>
  <c r="AK26" i="5"/>
  <c r="AJ26" i="5"/>
  <c r="AH26" i="5"/>
  <c r="AG26" i="5"/>
  <c r="AF26" i="5"/>
  <c r="AE26" i="5"/>
  <c r="AD26" i="5"/>
  <c r="Z26" i="5"/>
  <c r="BD26" i="5"/>
  <c r="AK25" i="5"/>
  <c r="AJ25" i="5"/>
  <c r="AH25" i="5"/>
  <c r="AG25" i="5"/>
  <c r="AF25" i="5"/>
  <c r="AE25" i="5"/>
  <c r="AD25" i="5"/>
  <c r="Z25" i="5"/>
  <c r="AP25" i="5"/>
  <c r="M25" i="5"/>
  <c r="BF25" i="5" s="1"/>
  <c r="AK23" i="5"/>
  <c r="AT22" i="5" s="1"/>
  <c r="AJ23" i="5"/>
  <c r="AS22" i="5" s="1"/>
  <c r="AH23" i="5"/>
  <c r="AG23" i="5"/>
  <c r="AF23" i="5"/>
  <c r="AE23" i="5"/>
  <c r="AD23" i="5"/>
  <c r="Z23" i="5"/>
  <c r="AP23" i="5"/>
  <c r="AK21" i="5"/>
  <c r="AJ21" i="5"/>
  <c r="AH21" i="5"/>
  <c r="AG21" i="5"/>
  <c r="AF21" i="5"/>
  <c r="AE21" i="5"/>
  <c r="AD21" i="5"/>
  <c r="Z21" i="5"/>
  <c r="M21" i="5"/>
  <c r="BF21" i="5" s="1"/>
  <c r="AK20" i="5"/>
  <c r="AJ20" i="5"/>
  <c r="AH20" i="5"/>
  <c r="AG20" i="5"/>
  <c r="AF20" i="5"/>
  <c r="AE20" i="5"/>
  <c r="AD20" i="5"/>
  <c r="Z20" i="5"/>
  <c r="AP20" i="5"/>
  <c r="AK19" i="5"/>
  <c r="AJ19" i="5"/>
  <c r="AH19" i="5"/>
  <c r="AG19" i="5"/>
  <c r="AF19" i="5"/>
  <c r="AE19" i="5"/>
  <c r="AD19" i="5"/>
  <c r="Z19" i="5"/>
  <c r="M19" i="5"/>
  <c r="BF19" i="5" s="1"/>
  <c r="AK18" i="5"/>
  <c r="AJ18" i="5"/>
  <c r="AH18" i="5"/>
  <c r="AG18" i="5"/>
  <c r="AF18" i="5"/>
  <c r="AE18" i="5"/>
  <c r="AD18" i="5"/>
  <c r="Z18" i="5"/>
  <c r="AP18" i="5"/>
  <c r="M18" i="5"/>
  <c r="BF18" i="5" s="1"/>
  <c r="AK17" i="5"/>
  <c r="AJ17" i="5"/>
  <c r="AH17" i="5"/>
  <c r="AG17" i="5"/>
  <c r="AF17" i="5"/>
  <c r="AE17" i="5"/>
  <c r="AD17" i="5"/>
  <c r="Z17" i="5"/>
  <c r="AO17" i="5"/>
  <c r="M17" i="5"/>
  <c r="BF17" i="5" s="1"/>
  <c r="AK16" i="5"/>
  <c r="AJ16" i="5"/>
  <c r="AH16" i="5"/>
  <c r="AG16" i="5"/>
  <c r="AF16" i="5"/>
  <c r="AE16" i="5"/>
  <c r="AD16" i="5"/>
  <c r="Z16" i="5"/>
  <c r="AP16" i="5"/>
  <c r="M16" i="5"/>
  <c r="AK15" i="5"/>
  <c r="AJ15" i="5"/>
  <c r="AH15" i="5"/>
  <c r="AG15" i="5"/>
  <c r="AF15" i="5"/>
  <c r="AE15" i="5"/>
  <c r="AD15" i="5"/>
  <c r="Z15" i="5"/>
  <c r="M15" i="5"/>
  <c r="BF15" i="5" s="1"/>
  <c r="AK13" i="5"/>
  <c r="AT12" i="5" s="1"/>
  <c r="AJ13" i="5"/>
  <c r="AS12" i="5" s="1"/>
  <c r="AH13" i="5"/>
  <c r="AG13" i="5"/>
  <c r="AF13" i="5"/>
  <c r="AE13" i="5"/>
  <c r="AD13" i="5"/>
  <c r="Z13" i="5"/>
  <c r="AO13" i="5"/>
  <c r="M13" i="5"/>
  <c r="BF13" i="5" s="1"/>
  <c r="AU1" i="5"/>
  <c r="AT1" i="5"/>
  <c r="AS1" i="5"/>
  <c r="I32" i="4"/>
  <c r="I33" i="4" s="1"/>
  <c r="I23" i="4"/>
  <c r="I22" i="4"/>
  <c r="I17" i="3" s="1"/>
  <c r="I21" i="4"/>
  <c r="I15" i="3" s="1"/>
  <c r="I20" i="4"/>
  <c r="I16" i="4"/>
  <c r="F15" i="3" s="1"/>
  <c r="I15" i="4"/>
  <c r="F10" i="4"/>
  <c r="C10" i="4"/>
  <c r="F8" i="4"/>
  <c r="F6" i="4"/>
  <c r="C6" i="4"/>
  <c r="F4" i="4"/>
  <c r="C4" i="4"/>
  <c r="F2" i="4"/>
  <c r="C2" i="4"/>
  <c r="I18" i="3"/>
  <c r="F10" i="3"/>
  <c r="C10" i="3"/>
  <c r="F8" i="3"/>
  <c r="F6" i="3"/>
  <c r="C6" i="3"/>
  <c r="F4" i="3"/>
  <c r="C4" i="3"/>
  <c r="F2" i="3"/>
  <c r="C2" i="3"/>
  <c r="C8" i="2"/>
  <c r="G6" i="2"/>
  <c r="C6" i="2"/>
  <c r="G4" i="2"/>
  <c r="C4" i="2"/>
  <c r="G2" i="2"/>
  <c r="C2" i="2"/>
  <c r="AX98" i="5" l="1"/>
  <c r="I17" i="4"/>
  <c r="F14" i="3"/>
  <c r="AS24" i="5"/>
  <c r="I97" i="5"/>
  <c r="BH38" i="5"/>
  <c r="AD38" i="5" s="1"/>
  <c r="BJ83" i="5"/>
  <c r="Z83" i="5" s="1"/>
  <c r="AW40" i="5"/>
  <c r="I101" i="5"/>
  <c r="BI106" i="5"/>
  <c r="AE106" i="5" s="1"/>
  <c r="AP31" i="5"/>
  <c r="BI31" i="5" s="1"/>
  <c r="AE31" i="5" s="1"/>
  <c r="BJ95" i="5"/>
  <c r="AP105" i="5"/>
  <c r="AX105" i="5" s="1"/>
  <c r="BD105" i="5"/>
  <c r="AP36" i="5"/>
  <c r="AX36" i="5" s="1"/>
  <c r="AT14" i="5"/>
  <c r="I53" i="5"/>
  <c r="AP65" i="5"/>
  <c r="BI65" i="5" s="1"/>
  <c r="AC65" i="5" s="1"/>
  <c r="AS47" i="5"/>
  <c r="J32" i="5"/>
  <c r="BD38" i="5"/>
  <c r="BJ48" i="5"/>
  <c r="AS75" i="5"/>
  <c r="BJ32" i="5"/>
  <c r="BH36" i="5"/>
  <c r="AD36" i="5" s="1"/>
  <c r="I67" i="5"/>
  <c r="J74" i="5"/>
  <c r="J73" i="5" s="1"/>
  <c r="AT84" i="5"/>
  <c r="BD95" i="5"/>
  <c r="I107" i="5"/>
  <c r="AS27" i="5"/>
  <c r="K36" i="5"/>
  <c r="AL36" i="5" s="1"/>
  <c r="AT91" i="5"/>
  <c r="AP93" i="5"/>
  <c r="AX93" i="5" s="1"/>
  <c r="K98" i="5"/>
  <c r="AL98" i="5" s="1"/>
  <c r="AX104" i="5"/>
  <c r="M32" i="5"/>
  <c r="BF32" i="5" s="1"/>
  <c r="BJ58" i="5"/>
  <c r="AP66" i="5"/>
  <c r="BI66" i="5" s="1"/>
  <c r="AC66" i="5" s="1"/>
  <c r="M95" i="5"/>
  <c r="BF95" i="5" s="1"/>
  <c r="J20" i="5"/>
  <c r="K93" i="5"/>
  <c r="AL93" i="5" s="1"/>
  <c r="BJ68" i="5"/>
  <c r="AT24" i="5"/>
  <c r="BD16" i="5"/>
  <c r="BJ56" i="5"/>
  <c r="BJ20" i="5"/>
  <c r="BJ42" i="5"/>
  <c r="K54" i="5"/>
  <c r="AL54" i="5" s="1"/>
  <c r="I64" i="5"/>
  <c r="BJ36" i="5"/>
  <c r="K40" i="5"/>
  <c r="AL40" i="5" s="1"/>
  <c r="AW72" i="5"/>
  <c r="J16" i="5"/>
  <c r="I17" i="5"/>
  <c r="J18" i="5"/>
  <c r="I31" i="5"/>
  <c r="I34" i="5"/>
  <c r="AW59" i="5"/>
  <c r="AS84" i="5"/>
  <c r="BJ88" i="5"/>
  <c r="AW13" i="5"/>
  <c r="J104" i="5"/>
  <c r="AP26" i="5"/>
  <c r="J26" i="5" s="1"/>
  <c r="I29" i="5"/>
  <c r="AS44" i="5"/>
  <c r="AT47" i="5"/>
  <c r="BD67" i="5"/>
  <c r="BD85" i="5"/>
  <c r="M88" i="5"/>
  <c r="BF88" i="5" s="1"/>
  <c r="AX102" i="5"/>
  <c r="BD55" i="5"/>
  <c r="BI100" i="5"/>
  <c r="AE100" i="5" s="1"/>
  <c r="BD45" i="5"/>
  <c r="AO94" i="5"/>
  <c r="BH94" i="5" s="1"/>
  <c r="AD94" i="5" s="1"/>
  <c r="AP41" i="5"/>
  <c r="AX41" i="5" s="1"/>
  <c r="BD42" i="5"/>
  <c r="BD43" i="5"/>
  <c r="BH48" i="5"/>
  <c r="AD48" i="5" s="1"/>
  <c r="AW55" i="5"/>
  <c r="BD64" i="5"/>
  <c r="AO79" i="5"/>
  <c r="BH79" i="5" s="1"/>
  <c r="BD80" i="5"/>
  <c r="BJ93" i="5"/>
  <c r="AP97" i="5"/>
  <c r="BI97" i="5" s="1"/>
  <c r="AE97" i="5" s="1"/>
  <c r="I99" i="5"/>
  <c r="K100" i="5"/>
  <c r="AL100" i="5" s="1"/>
  <c r="K25" i="5"/>
  <c r="AL25" i="5" s="1"/>
  <c r="AP38" i="5"/>
  <c r="J38" i="5" s="1"/>
  <c r="BD39" i="5"/>
  <c r="BD41" i="5"/>
  <c r="BD76" i="5"/>
  <c r="M100" i="5"/>
  <c r="BF100" i="5" s="1"/>
  <c r="AP107" i="5"/>
  <c r="BI107" i="5" s="1"/>
  <c r="BH66" i="5"/>
  <c r="AB66" i="5" s="1"/>
  <c r="AW66" i="5"/>
  <c r="I66" i="5"/>
  <c r="BD59" i="5"/>
  <c r="BJ98" i="5"/>
  <c r="AP99" i="5"/>
  <c r="BI99" i="5" s="1"/>
  <c r="AE99" i="5" s="1"/>
  <c r="BJ109" i="5"/>
  <c r="J108" i="5"/>
  <c r="AP28" i="5"/>
  <c r="AX28" i="5" s="1"/>
  <c r="M20" i="5"/>
  <c r="BF20" i="5" s="1"/>
  <c r="AX25" i="5"/>
  <c r="I36" i="5"/>
  <c r="BD36" i="5"/>
  <c r="BD37" i="5"/>
  <c r="BJ40" i="5"/>
  <c r="I59" i="5"/>
  <c r="K66" i="5"/>
  <c r="AL66" i="5" s="1"/>
  <c r="AW93" i="5"/>
  <c r="BD93" i="5"/>
  <c r="J98" i="5"/>
  <c r="BD99" i="5"/>
  <c r="AP101" i="5"/>
  <c r="BI101" i="5" s="1"/>
  <c r="AE101" i="5" s="1"/>
  <c r="BJ100" i="5"/>
  <c r="BD101" i="5"/>
  <c r="K109" i="5"/>
  <c r="K108" i="5" s="1"/>
  <c r="F27" i="2" s="1"/>
  <c r="I27" i="2" s="1"/>
  <c r="I28" i="5"/>
  <c r="BH28" i="5"/>
  <c r="AD28" i="5" s="1"/>
  <c r="M36" i="5"/>
  <c r="BF36" i="5" s="1"/>
  <c r="I38" i="5"/>
  <c r="I42" i="5"/>
  <c r="AP42" i="5"/>
  <c r="AX42" i="5" s="1"/>
  <c r="BJ61" i="5"/>
  <c r="AX61" i="5"/>
  <c r="AP64" i="5"/>
  <c r="AX64" i="5" s="1"/>
  <c r="AP67" i="5"/>
  <c r="J67" i="5" s="1"/>
  <c r="AO76" i="5"/>
  <c r="BH76" i="5" s="1"/>
  <c r="AP94" i="5"/>
  <c r="BI94" i="5" s="1"/>
  <c r="AE94" i="5" s="1"/>
  <c r="AX100" i="5"/>
  <c r="BI102" i="5"/>
  <c r="AE102" i="5" s="1"/>
  <c r="BJ102" i="5"/>
  <c r="AP103" i="5"/>
  <c r="BI103" i="5" s="1"/>
  <c r="AE103" i="5" s="1"/>
  <c r="M109" i="5"/>
  <c r="AS52" i="5"/>
  <c r="BD61" i="5"/>
  <c r="AP70" i="5"/>
  <c r="AX70" i="5" s="1"/>
  <c r="AO71" i="5"/>
  <c r="BH71" i="5" s="1"/>
  <c r="AB71" i="5" s="1"/>
  <c r="K76" i="5"/>
  <c r="AL76" i="5" s="1"/>
  <c r="BD103" i="5"/>
  <c r="BJ28" i="5"/>
  <c r="AP29" i="5"/>
  <c r="BI29" i="5" s="1"/>
  <c r="AE29" i="5" s="1"/>
  <c r="K38" i="5"/>
  <c r="AL38" i="5" s="1"/>
  <c r="AW38" i="5"/>
  <c r="K42" i="5"/>
  <c r="AL42" i="5" s="1"/>
  <c r="AT52" i="5"/>
  <c r="AP55" i="5"/>
  <c r="J55" i="5" s="1"/>
  <c r="K61" i="5"/>
  <c r="AL61" i="5" s="1"/>
  <c r="AU60" i="5" s="1"/>
  <c r="AO69" i="5"/>
  <c r="I69" i="5" s="1"/>
  <c r="BD70" i="5"/>
  <c r="AP71" i="5"/>
  <c r="AX71" i="5" s="1"/>
  <c r="AO78" i="5"/>
  <c r="AW78" i="5" s="1"/>
  <c r="AP95" i="5"/>
  <c r="J95" i="5" s="1"/>
  <c r="K102" i="5"/>
  <c r="AL102" i="5" s="1"/>
  <c r="I103" i="5"/>
  <c r="BI104" i="5"/>
  <c r="AE104" i="5" s="1"/>
  <c r="BI105" i="5"/>
  <c r="AE105" i="5" s="1"/>
  <c r="BJ13" i="5"/>
  <c r="AP13" i="5"/>
  <c r="AX13" i="5" s="1"/>
  <c r="AW29" i="5"/>
  <c r="BD29" i="5"/>
  <c r="BI30" i="5"/>
  <c r="AE30" i="5" s="1"/>
  <c r="M38" i="5"/>
  <c r="BF38" i="5" s="1"/>
  <c r="M42" i="5"/>
  <c r="BF42" i="5" s="1"/>
  <c r="AP43" i="5"/>
  <c r="BI43" i="5" s="1"/>
  <c r="AO46" i="5"/>
  <c r="BH46" i="5" s="1"/>
  <c r="AD46" i="5" s="1"/>
  <c r="AP53" i="5"/>
  <c r="AX53" i="5" s="1"/>
  <c r="BJ54" i="5"/>
  <c r="BH72" i="5"/>
  <c r="AB72" i="5" s="1"/>
  <c r="AT62" i="5"/>
  <c r="K95" i="5"/>
  <c r="AL95" i="5" s="1"/>
  <c r="BJ104" i="5"/>
  <c r="AP72" i="5"/>
  <c r="J72" i="5" s="1"/>
  <c r="BD78" i="5"/>
  <c r="BJ106" i="5"/>
  <c r="BJ30" i="5"/>
  <c r="K13" i="5"/>
  <c r="K12" i="5" s="1"/>
  <c r="BD13" i="5"/>
  <c r="BJ16" i="5"/>
  <c r="J30" i="5"/>
  <c r="AW31" i="5"/>
  <c r="BD31" i="5"/>
  <c r="BJ38" i="5"/>
  <c r="BH40" i="5"/>
  <c r="AD40" i="5" s="1"/>
  <c r="BJ50" i="5"/>
  <c r="J54" i="5"/>
  <c r="AP57" i="5"/>
  <c r="BI57" i="5" s="1"/>
  <c r="AE57" i="5" s="1"/>
  <c r="BD65" i="5"/>
  <c r="K69" i="5"/>
  <c r="AL69" i="5" s="1"/>
  <c r="I72" i="5"/>
  <c r="BD82" i="5"/>
  <c r="AT96" i="5"/>
  <c r="K104" i="5"/>
  <c r="AL104" i="5" s="1"/>
  <c r="I105" i="5"/>
  <c r="AX106" i="5"/>
  <c r="BD107" i="5"/>
  <c r="AX18" i="5"/>
  <c r="I57" i="5"/>
  <c r="AW57" i="5"/>
  <c r="M65" i="5"/>
  <c r="BF65" i="5" s="1"/>
  <c r="K72" i="5"/>
  <c r="AL72" i="5" s="1"/>
  <c r="BD72" i="5"/>
  <c r="K82" i="5"/>
  <c r="AL82" i="5" s="1"/>
  <c r="AO87" i="5"/>
  <c r="BH87" i="5" s="1"/>
  <c r="AD87" i="5" s="1"/>
  <c r="M104" i="5"/>
  <c r="BF104" i="5" s="1"/>
  <c r="K106" i="5"/>
  <c r="AL106" i="5" s="1"/>
  <c r="AW17" i="5"/>
  <c r="BD23" i="5"/>
  <c r="BD18" i="5"/>
  <c r="BD20" i="5"/>
  <c r="AO26" i="5"/>
  <c r="BH26" i="5" s="1"/>
  <c r="AB26" i="5" s="1"/>
  <c r="AX32" i="5"/>
  <c r="AW34" i="5"/>
  <c r="AP34" i="5"/>
  <c r="BI34" i="5" s="1"/>
  <c r="I40" i="5"/>
  <c r="AP40" i="5"/>
  <c r="M50" i="5"/>
  <c r="BF50" i="5" s="1"/>
  <c r="K57" i="5"/>
  <c r="AL57" i="5" s="1"/>
  <c r="BD57" i="5"/>
  <c r="AP59" i="5"/>
  <c r="BI59" i="5" s="1"/>
  <c r="AE59" i="5" s="1"/>
  <c r="M72" i="5"/>
  <c r="BF72" i="5" s="1"/>
  <c r="AO85" i="5"/>
  <c r="AW85" i="5" s="1"/>
  <c r="BD87" i="5"/>
  <c r="BD97" i="5"/>
  <c r="AS96" i="5"/>
  <c r="M106" i="5"/>
  <c r="BF106" i="5" s="1"/>
  <c r="BJ18" i="5"/>
  <c r="AX23" i="5"/>
  <c r="BD34" i="5"/>
  <c r="AS35" i="5"/>
  <c r="BD40" i="5"/>
  <c r="M48" i="5"/>
  <c r="BF48" i="5" s="1"/>
  <c r="BJ72" i="5"/>
  <c r="AO88" i="5"/>
  <c r="I88" i="5" s="1"/>
  <c r="BI98" i="5"/>
  <c r="AE98" i="5" s="1"/>
  <c r="BD21" i="5"/>
  <c r="K21" i="5"/>
  <c r="AL21" i="5" s="1"/>
  <c r="BJ21" i="5"/>
  <c r="F22" i="3"/>
  <c r="I14" i="3"/>
  <c r="I22" i="3" s="1"/>
  <c r="I24" i="4"/>
  <c r="BD17" i="5"/>
  <c r="K17" i="5"/>
  <c r="AL17" i="5" s="1"/>
  <c r="BJ17" i="5"/>
  <c r="AT27" i="5"/>
  <c r="BH70" i="5"/>
  <c r="AB70" i="5" s="1"/>
  <c r="K70" i="5"/>
  <c r="AL70" i="5" s="1"/>
  <c r="BJ70" i="5"/>
  <c r="AW70" i="5"/>
  <c r="M70" i="5"/>
  <c r="BF70" i="5" s="1"/>
  <c r="I70" i="5"/>
  <c r="BJ80" i="5"/>
  <c r="Z80" i="5" s="1"/>
  <c r="J80" i="5"/>
  <c r="BI80" i="5"/>
  <c r="M80" i="5"/>
  <c r="BF80" i="5" s="1"/>
  <c r="K80" i="5"/>
  <c r="AL80" i="5" s="1"/>
  <c r="AX80" i="5"/>
  <c r="BD19" i="5"/>
  <c r="K19" i="5"/>
  <c r="AL19" i="5" s="1"/>
  <c r="BJ19" i="5"/>
  <c r="BJ26" i="5"/>
  <c r="M26" i="5"/>
  <c r="K26" i="5"/>
  <c r="AL26" i="5" s="1"/>
  <c r="AU24" i="5" s="1"/>
  <c r="BD15" i="5"/>
  <c r="K15" i="5"/>
  <c r="BJ15" i="5"/>
  <c r="AS14" i="5"/>
  <c r="C27" i="3"/>
  <c r="AX20" i="5"/>
  <c r="AO21" i="5"/>
  <c r="AT35" i="5"/>
  <c r="BF16" i="5"/>
  <c r="C28" i="3"/>
  <c r="F28" i="3" s="1"/>
  <c r="AO19" i="5"/>
  <c r="AP21" i="5"/>
  <c r="J25" i="5"/>
  <c r="BI36" i="5"/>
  <c r="AE36" i="5" s="1"/>
  <c r="J36" i="5"/>
  <c r="BI45" i="5"/>
  <c r="AE45" i="5" s="1"/>
  <c r="M45" i="5"/>
  <c r="BJ45" i="5"/>
  <c r="K45" i="5"/>
  <c r="J45" i="5"/>
  <c r="AW48" i="5"/>
  <c r="M12" i="5"/>
  <c r="G11" i="2" s="1"/>
  <c r="AX16" i="5"/>
  <c r="AP19" i="5"/>
  <c r="AO15" i="5"/>
  <c r="AP17" i="5"/>
  <c r="BI32" i="5"/>
  <c r="AE32" i="5" s="1"/>
  <c r="BF76" i="5"/>
  <c r="F26" i="4"/>
  <c r="I24" i="3" s="1"/>
  <c r="AP15" i="5"/>
  <c r="BH17" i="5"/>
  <c r="AB17" i="5" s="1"/>
  <c r="AX45" i="5"/>
  <c r="BD81" i="5"/>
  <c r="AP81" i="5"/>
  <c r="AX81" i="5" s="1"/>
  <c r="AO81" i="5"/>
  <c r="K81" i="5"/>
  <c r="AL81" i="5" s="1"/>
  <c r="M43" i="5"/>
  <c r="BF43" i="5" s="1"/>
  <c r="AW43" i="5"/>
  <c r="K43" i="5"/>
  <c r="AL43" i="5" s="1"/>
  <c r="I43" i="5"/>
  <c r="BH43" i="5"/>
  <c r="AO23" i="5"/>
  <c r="BH23" i="5" s="1"/>
  <c r="AB23" i="5" s="1"/>
  <c r="AW36" i="5"/>
  <c r="M41" i="5"/>
  <c r="BF41" i="5" s="1"/>
  <c r="AW41" i="5"/>
  <c r="K41" i="5"/>
  <c r="AL41" i="5" s="1"/>
  <c r="I41" i="5"/>
  <c r="BH41" i="5"/>
  <c r="AD41" i="5" s="1"/>
  <c r="AP50" i="5"/>
  <c r="AX50" i="5" s="1"/>
  <c r="BD50" i="5"/>
  <c r="BI58" i="5"/>
  <c r="AE58" i="5" s="1"/>
  <c r="AX58" i="5"/>
  <c r="M58" i="5"/>
  <c r="BF58" i="5" s="1"/>
  <c r="K58" i="5"/>
  <c r="AL58" i="5" s="1"/>
  <c r="J58" i="5"/>
  <c r="BD63" i="5"/>
  <c r="BJ63" i="5"/>
  <c r="AP63" i="5"/>
  <c r="K63" i="5"/>
  <c r="AO16" i="5"/>
  <c r="AW16" i="5" s="1"/>
  <c r="AO18" i="5"/>
  <c r="AW18" i="5" s="1"/>
  <c r="AO20" i="5"/>
  <c r="I20" i="5" s="1"/>
  <c r="BI23" i="5"/>
  <c r="AC23" i="5" s="1"/>
  <c r="BD25" i="5"/>
  <c r="AO30" i="5"/>
  <c r="AO32" i="5"/>
  <c r="BJ41" i="5"/>
  <c r="BD46" i="5"/>
  <c r="AP48" i="5"/>
  <c r="AX48" i="5" s="1"/>
  <c r="BD48" i="5"/>
  <c r="AO49" i="5"/>
  <c r="BH49" i="5" s="1"/>
  <c r="AD49" i="5" s="1"/>
  <c r="K50" i="5"/>
  <c r="AL50" i="5" s="1"/>
  <c r="BJ51" i="5"/>
  <c r="Z51" i="5" s="1"/>
  <c r="K51" i="5"/>
  <c r="AL51" i="5" s="1"/>
  <c r="AX51" i="5"/>
  <c r="J51" i="5"/>
  <c r="BI51" i="5"/>
  <c r="BJ81" i="5"/>
  <c r="Z81" i="5" s="1"/>
  <c r="BH13" i="5"/>
  <c r="AB13" i="5" s="1"/>
  <c r="BI16" i="5"/>
  <c r="AC16" i="5" s="1"/>
  <c r="BI18" i="5"/>
  <c r="AC18" i="5" s="1"/>
  <c r="BI20" i="5"/>
  <c r="AC20" i="5" s="1"/>
  <c r="J23" i="5"/>
  <c r="J22" i="5" s="1"/>
  <c r="E13" i="2" s="1"/>
  <c r="BJ23" i="5"/>
  <c r="BI25" i="5"/>
  <c r="AC25" i="5" s="1"/>
  <c r="AX30" i="5"/>
  <c r="AX39" i="5"/>
  <c r="M39" i="5"/>
  <c r="BF39" i="5" s="1"/>
  <c r="K39" i="5"/>
  <c r="AL39" i="5" s="1"/>
  <c r="BI39" i="5"/>
  <c r="AE39" i="5" s="1"/>
  <c r="BJ39" i="5"/>
  <c r="BH42" i="5"/>
  <c r="AD42" i="5" s="1"/>
  <c r="BJ43" i="5"/>
  <c r="Z43" i="5" s="1"/>
  <c r="AT44" i="5"/>
  <c r="AX46" i="5"/>
  <c r="M46" i="5"/>
  <c r="BF46" i="5" s="1"/>
  <c r="BJ46" i="5"/>
  <c r="J46" i="5"/>
  <c r="BI46" i="5"/>
  <c r="AE46" i="5" s="1"/>
  <c r="K48" i="5"/>
  <c r="K49" i="5"/>
  <c r="AL49" i="5" s="1"/>
  <c r="BJ49" i="5"/>
  <c r="AP49" i="5"/>
  <c r="J49" i="5" s="1"/>
  <c r="AO51" i="5"/>
  <c r="BD51" i="5"/>
  <c r="M55" i="5"/>
  <c r="BF55" i="5" s="1"/>
  <c r="BJ55" i="5"/>
  <c r="BH55" i="5"/>
  <c r="AD55" i="5" s="1"/>
  <c r="K55" i="5"/>
  <c r="AL55" i="5" s="1"/>
  <c r="I55" i="5"/>
  <c r="AO68" i="5"/>
  <c r="BH68" i="5" s="1"/>
  <c r="AB68" i="5" s="1"/>
  <c r="K68" i="5"/>
  <c r="AL68" i="5" s="1"/>
  <c r="BD68" i="5"/>
  <c r="M71" i="5"/>
  <c r="BF71" i="5" s="1"/>
  <c r="AW71" i="5"/>
  <c r="K71" i="5"/>
  <c r="AL71" i="5" s="1"/>
  <c r="BJ71" i="5"/>
  <c r="I71" i="5"/>
  <c r="BJ78" i="5"/>
  <c r="Z78" i="5" s="1"/>
  <c r="J78" i="5"/>
  <c r="BI78" i="5"/>
  <c r="K78" i="5"/>
  <c r="AL78" i="5" s="1"/>
  <c r="AX78" i="5"/>
  <c r="M78" i="5"/>
  <c r="BF78" i="5" s="1"/>
  <c r="K85" i="5"/>
  <c r="BJ85" i="5"/>
  <c r="J85" i="5"/>
  <c r="BI85" i="5"/>
  <c r="AE85" i="5" s="1"/>
  <c r="M85" i="5"/>
  <c r="AX85" i="5"/>
  <c r="I13" i="5"/>
  <c r="I12" i="5" s="1"/>
  <c r="D11" i="2" s="1"/>
  <c r="K23" i="5"/>
  <c r="AO25" i="5"/>
  <c r="I25" i="5" s="1"/>
  <c r="BD30" i="5"/>
  <c r="K30" i="5"/>
  <c r="AL30" i="5" s="1"/>
  <c r="BD32" i="5"/>
  <c r="AL32" i="5"/>
  <c r="AW42" i="5"/>
  <c r="BF61" i="5"/>
  <c r="M60" i="5"/>
  <c r="G20" i="2" s="1"/>
  <c r="AO63" i="5"/>
  <c r="BD77" i="5"/>
  <c r="AO77" i="5"/>
  <c r="BH77" i="5" s="1"/>
  <c r="AP77" i="5"/>
  <c r="J77" i="5" s="1"/>
  <c r="BD92" i="5"/>
  <c r="AP92" i="5"/>
  <c r="BI92" i="5" s="1"/>
  <c r="AE92" i="5" s="1"/>
  <c r="AO92" i="5"/>
  <c r="AW92" i="5" s="1"/>
  <c r="K16" i="5"/>
  <c r="AL16" i="5" s="1"/>
  <c r="K18" i="5"/>
  <c r="AL18" i="5" s="1"/>
  <c r="K20" i="5"/>
  <c r="AL20" i="5" s="1"/>
  <c r="M23" i="5"/>
  <c r="BJ25" i="5"/>
  <c r="BD28" i="5"/>
  <c r="K28" i="5"/>
  <c r="AX37" i="5"/>
  <c r="M37" i="5"/>
  <c r="K37" i="5"/>
  <c r="AL37" i="5" s="1"/>
  <c r="BI37" i="5"/>
  <c r="AE37" i="5" s="1"/>
  <c r="BJ37" i="5"/>
  <c r="J39" i="5"/>
  <c r="K46" i="5"/>
  <c r="AL46" i="5" s="1"/>
  <c r="AO50" i="5"/>
  <c r="I50" i="5" s="1"/>
  <c r="M51" i="5"/>
  <c r="AW65" i="5"/>
  <c r="K65" i="5"/>
  <c r="AL65" i="5" s="1"/>
  <c r="BJ65" i="5"/>
  <c r="BH65" i="5"/>
  <c r="AB65" i="5" s="1"/>
  <c r="I65" i="5"/>
  <c r="AP68" i="5"/>
  <c r="BI68" i="5" s="1"/>
  <c r="AC68" i="5" s="1"/>
  <c r="K77" i="5"/>
  <c r="AL77" i="5" s="1"/>
  <c r="AW67" i="5"/>
  <c r="K67" i="5"/>
  <c r="AL67" i="5" s="1"/>
  <c r="BJ67" i="5"/>
  <c r="BH67" i="5"/>
  <c r="AB67" i="5" s="1"/>
  <c r="BD86" i="5"/>
  <c r="BJ86" i="5"/>
  <c r="K86" i="5"/>
  <c r="AL86" i="5" s="1"/>
  <c r="AW28" i="5"/>
  <c r="AO37" i="5"/>
  <c r="I37" i="5" s="1"/>
  <c r="AO39" i="5"/>
  <c r="AW39" i="5" s="1"/>
  <c r="M53" i="5"/>
  <c r="BJ53" i="5"/>
  <c r="BH53" i="5"/>
  <c r="AD53" i="5" s="1"/>
  <c r="AW53" i="5"/>
  <c r="M59" i="5"/>
  <c r="BF59" i="5" s="1"/>
  <c r="BJ59" i="5"/>
  <c r="BH59" i="5"/>
  <c r="AD59" i="5" s="1"/>
  <c r="AS62" i="5"/>
  <c r="AW64" i="5"/>
  <c r="K64" i="5"/>
  <c r="AL64" i="5" s="1"/>
  <c r="BJ64" i="5"/>
  <c r="BH64" i="5"/>
  <c r="AB64" i="5" s="1"/>
  <c r="M67" i="5"/>
  <c r="BF67" i="5" s="1"/>
  <c r="AX74" i="5"/>
  <c r="M74" i="5"/>
  <c r="BI74" i="5"/>
  <c r="AG74" i="5" s="1"/>
  <c r="BJ74" i="5"/>
  <c r="AT75" i="5"/>
  <c r="AO86" i="5"/>
  <c r="BH95" i="5"/>
  <c r="AD95" i="5" s="1"/>
  <c r="M28" i="5"/>
  <c r="BF28" i="5" s="1"/>
  <c r="BH29" i="5"/>
  <c r="AD29" i="5" s="1"/>
  <c r="BH31" i="5"/>
  <c r="AD31" i="5" s="1"/>
  <c r="BH34" i="5"/>
  <c r="BD53" i="5"/>
  <c r="BI56" i="5"/>
  <c r="AE56" i="5" s="1"/>
  <c r="AX56" i="5"/>
  <c r="M56" i="5"/>
  <c r="BF56" i="5" s="1"/>
  <c r="K79" i="5"/>
  <c r="AL79" i="5" s="1"/>
  <c r="AW79" i="5"/>
  <c r="BJ79" i="5"/>
  <c r="Z79" i="5" s="1"/>
  <c r="AP86" i="5"/>
  <c r="BD90" i="5"/>
  <c r="BJ90" i="5"/>
  <c r="AP90" i="5"/>
  <c r="K90" i="5"/>
  <c r="AL90" i="5" s="1"/>
  <c r="AW95" i="5"/>
  <c r="I95" i="5"/>
  <c r="BJ29" i="5"/>
  <c r="BJ31" i="5"/>
  <c r="BJ34" i="5"/>
  <c r="Z34" i="5" s="1"/>
  <c r="AO45" i="5"/>
  <c r="AW45" i="5" s="1"/>
  <c r="I48" i="5"/>
  <c r="K53" i="5"/>
  <c r="J56" i="5"/>
  <c r="AX57" i="5"/>
  <c r="M57" i="5"/>
  <c r="BF57" i="5" s="1"/>
  <c r="BJ57" i="5"/>
  <c r="BH57" i="5"/>
  <c r="AD57" i="5" s="1"/>
  <c r="K59" i="5"/>
  <c r="AL59" i="5" s="1"/>
  <c r="M64" i="5"/>
  <c r="M69" i="5"/>
  <c r="BF69" i="5" s="1"/>
  <c r="BJ69" i="5"/>
  <c r="I79" i="5"/>
  <c r="AW87" i="5"/>
  <c r="K87" i="5"/>
  <c r="AL87" i="5" s="1"/>
  <c r="BJ87" i="5"/>
  <c r="J87" i="5"/>
  <c r="BI87" i="5"/>
  <c r="AE87" i="5" s="1"/>
  <c r="I87" i="5"/>
  <c r="AX87" i="5"/>
  <c r="M87" i="5"/>
  <c r="BF87" i="5" s="1"/>
  <c r="AO90" i="5"/>
  <c r="K29" i="5"/>
  <c r="AL29" i="5" s="1"/>
  <c r="K31" i="5"/>
  <c r="AL31" i="5" s="1"/>
  <c r="K34" i="5"/>
  <c r="AL34" i="5" s="1"/>
  <c r="BI54" i="5"/>
  <c r="AE54" i="5" s="1"/>
  <c r="AX54" i="5"/>
  <c r="M54" i="5"/>
  <c r="BF54" i="5" s="1"/>
  <c r="K56" i="5"/>
  <c r="AL56" i="5" s="1"/>
  <c r="AO61" i="5"/>
  <c r="I61" i="5" s="1"/>
  <c r="I60" i="5" s="1"/>
  <c r="D20" i="2" s="1"/>
  <c r="BD66" i="5"/>
  <c r="BJ66" i="5"/>
  <c r="AO74" i="5"/>
  <c r="AW74" i="5" s="1"/>
  <c r="M79" i="5"/>
  <c r="BF79" i="5" s="1"/>
  <c r="BD83" i="5"/>
  <c r="AP83" i="5"/>
  <c r="J83" i="5" s="1"/>
  <c r="AP69" i="5"/>
  <c r="BI69" i="5" s="1"/>
  <c r="AC69" i="5" s="1"/>
  <c r="M83" i="5"/>
  <c r="BF83" i="5" s="1"/>
  <c r="BH93" i="5"/>
  <c r="AD93" i="5" s="1"/>
  <c r="AW89" i="5"/>
  <c r="K89" i="5"/>
  <c r="AL89" i="5" s="1"/>
  <c r="BJ89" i="5"/>
  <c r="I89" i="5"/>
  <c r="BH89" i="5"/>
  <c r="AD89" i="5" s="1"/>
  <c r="AS91" i="5"/>
  <c r="BD54" i="5"/>
  <c r="BD56" i="5"/>
  <c r="BD58" i="5"/>
  <c r="BJ77" i="5"/>
  <c r="Z77" i="5" s="1"/>
  <c r="AP79" i="5"/>
  <c r="AX79" i="5" s="1"/>
  <c r="I83" i="5"/>
  <c r="AW83" i="5"/>
  <c r="AP88" i="5"/>
  <c r="AP89" i="5"/>
  <c r="AX89" i="5" s="1"/>
  <c r="BD89" i="5"/>
  <c r="I93" i="5"/>
  <c r="J102" i="5"/>
  <c r="AO54" i="5"/>
  <c r="AW54" i="5" s="1"/>
  <c r="AO56" i="5"/>
  <c r="AW56" i="5" s="1"/>
  <c r="AO58" i="5"/>
  <c r="I58" i="5" s="1"/>
  <c r="BI61" i="5"/>
  <c r="AC61" i="5" s="1"/>
  <c r="BJ76" i="5"/>
  <c r="Z76" i="5" s="1"/>
  <c r="J76" i="5"/>
  <c r="BI76" i="5"/>
  <c r="BJ82" i="5"/>
  <c r="Z82" i="5" s="1"/>
  <c r="J82" i="5"/>
  <c r="BI82" i="5"/>
  <c r="AX82" i="5"/>
  <c r="K83" i="5"/>
  <c r="AL83" i="5" s="1"/>
  <c r="BH83" i="5"/>
  <c r="AX94" i="5"/>
  <c r="J100" i="5"/>
  <c r="J106" i="5"/>
  <c r="J61" i="5"/>
  <c r="J60" i="5" s="1"/>
  <c r="E20" i="2" s="1"/>
  <c r="AX76" i="5"/>
  <c r="M81" i="5"/>
  <c r="BF81" i="5" s="1"/>
  <c r="K88" i="5"/>
  <c r="AL88" i="5" s="1"/>
  <c r="AX109" i="5"/>
  <c r="BH97" i="5"/>
  <c r="AD97" i="5" s="1"/>
  <c r="BH99" i="5"/>
  <c r="AD99" i="5" s="1"/>
  <c r="BH101" i="5"/>
  <c r="AD101" i="5" s="1"/>
  <c r="BH103" i="5"/>
  <c r="AD103" i="5" s="1"/>
  <c r="BH105" i="5"/>
  <c r="AD105" i="5" s="1"/>
  <c r="BH107" i="5"/>
  <c r="BD109" i="5"/>
  <c r="BJ97" i="5"/>
  <c r="BD98" i="5"/>
  <c r="BJ99" i="5"/>
  <c r="BD100" i="5"/>
  <c r="BJ101" i="5"/>
  <c r="BD102" i="5"/>
  <c r="J103" i="5"/>
  <c r="BJ103" i="5"/>
  <c r="BD104" i="5"/>
  <c r="J105" i="5"/>
  <c r="BJ105" i="5"/>
  <c r="BD106" i="5"/>
  <c r="BJ107" i="5"/>
  <c r="Z107" i="5" s="1"/>
  <c r="AO80" i="5"/>
  <c r="BH80" i="5" s="1"/>
  <c r="AO82" i="5"/>
  <c r="AW82" i="5" s="1"/>
  <c r="BJ92" i="5"/>
  <c r="J94" i="5"/>
  <c r="BJ94" i="5"/>
  <c r="K97" i="5"/>
  <c r="AW97" i="5"/>
  <c r="K99" i="5"/>
  <c r="AL99" i="5" s="1"/>
  <c r="AW99" i="5"/>
  <c r="K101" i="5"/>
  <c r="AL101" i="5" s="1"/>
  <c r="AW101" i="5"/>
  <c r="K103" i="5"/>
  <c r="AL103" i="5" s="1"/>
  <c r="AW103" i="5"/>
  <c r="K105" i="5"/>
  <c r="AL105" i="5" s="1"/>
  <c r="AW105" i="5"/>
  <c r="AL107" i="5"/>
  <c r="AW107" i="5"/>
  <c r="AO109" i="5"/>
  <c r="BH109" i="5" s="1"/>
  <c r="AD109" i="5" s="1"/>
  <c r="K92" i="5"/>
  <c r="K94" i="5"/>
  <c r="AL94" i="5" s="1"/>
  <c r="M97" i="5"/>
  <c r="AO98" i="5"/>
  <c r="AW98" i="5" s="1"/>
  <c r="M99" i="5"/>
  <c r="BF99" i="5" s="1"/>
  <c r="AO100" i="5"/>
  <c r="AW100" i="5" s="1"/>
  <c r="M101" i="5"/>
  <c r="BF101" i="5" s="1"/>
  <c r="AO102" i="5"/>
  <c r="AW102" i="5" s="1"/>
  <c r="M103" i="5"/>
  <c r="BF103" i="5" s="1"/>
  <c r="AO104" i="5"/>
  <c r="AW104" i="5" s="1"/>
  <c r="M105" i="5"/>
  <c r="BF105" i="5" s="1"/>
  <c r="AO106" i="5"/>
  <c r="AW106" i="5" s="1"/>
  <c r="M107" i="5"/>
  <c r="BF107" i="5" s="1"/>
  <c r="BI109" i="5"/>
  <c r="AE109" i="5" s="1"/>
  <c r="M92" i="5"/>
  <c r="M94" i="5"/>
  <c r="BF94" i="5" s="1"/>
  <c r="BC57" i="5" l="1"/>
  <c r="I46" i="5"/>
  <c r="J107" i="5"/>
  <c r="BI53" i="5"/>
  <c r="AE53" i="5" s="1"/>
  <c r="J57" i="5"/>
  <c r="AX59" i="5"/>
  <c r="AV59" i="5" s="1"/>
  <c r="AV13" i="5"/>
  <c r="AL109" i="5"/>
  <c r="AU108" i="5" s="1"/>
  <c r="AX107" i="5"/>
  <c r="BC107" i="5" s="1"/>
  <c r="K27" i="5"/>
  <c r="BI38" i="5"/>
  <c r="AE38" i="5" s="1"/>
  <c r="AL28" i="5"/>
  <c r="AX55" i="5"/>
  <c r="BC55" i="5" s="1"/>
  <c r="J34" i="5"/>
  <c r="I77" i="5"/>
  <c r="J31" i="5"/>
  <c r="J53" i="5"/>
  <c r="AX31" i="5"/>
  <c r="BC31" i="5" s="1"/>
  <c r="AW23" i="5"/>
  <c r="AV23" i="5" s="1"/>
  <c r="BI71" i="5"/>
  <c r="AC71" i="5" s="1"/>
  <c r="M14" i="5"/>
  <c r="G12" i="2" s="1"/>
  <c r="J71" i="5"/>
  <c r="AW46" i="5"/>
  <c r="BC46" i="5" s="1"/>
  <c r="AW76" i="5"/>
  <c r="AV76" i="5" s="1"/>
  <c r="J66" i="5"/>
  <c r="AX66" i="5"/>
  <c r="AV66" i="5" s="1"/>
  <c r="I76" i="5"/>
  <c r="BI26" i="5"/>
  <c r="AC26" i="5" s="1"/>
  <c r="AX65" i="5"/>
  <c r="AV65" i="5" s="1"/>
  <c r="BI41" i="5"/>
  <c r="AE41" i="5" s="1"/>
  <c r="AX34" i="5"/>
  <c r="BC34" i="5" s="1"/>
  <c r="J41" i="5"/>
  <c r="J65" i="5"/>
  <c r="AX67" i="5"/>
  <c r="BC67" i="5" s="1"/>
  <c r="AW69" i="5"/>
  <c r="BH69" i="5"/>
  <c r="AB69" i="5" s="1"/>
  <c r="BI70" i="5"/>
  <c r="AC70" i="5" s="1"/>
  <c r="AV93" i="5"/>
  <c r="BC93" i="5"/>
  <c r="BI93" i="5"/>
  <c r="AE93" i="5" s="1"/>
  <c r="J93" i="5"/>
  <c r="J43" i="5"/>
  <c r="AX43" i="5"/>
  <c r="BC43" i="5" s="1"/>
  <c r="J99" i="5"/>
  <c r="AX99" i="5"/>
  <c r="AV99" i="5" s="1"/>
  <c r="J29" i="5"/>
  <c r="BH78" i="5"/>
  <c r="AX29" i="5"/>
  <c r="BI42" i="5"/>
  <c r="AE42" i="5" s="1"/>
  <c r="I78" i="5"/>
  <c r="BI72" i="5"/>
  <c r="AC72" i="5" s="1"/>
  <c r="I85" i="5"/>
  <c r="BH102" i="5"/>
  <c r="AD102" i="5" s="1"/>
  <c r="AX97" i="5"/>
  <c r="BC97" i="5" s="1"/>
  <c r="J64" i="5"/>
  <c r="AX26" i="5"/>
  <c r="J101" i="5"/>
  <c r="BH85" i="5"/>
  <c r="AD85" i="5" s="1"/>
  <c r="J24" i="5"/>
  <c r="E14" i="2" s="1"/>
  <c r="I18" i="5"/>
  <c r="AW26" i="5"/>
  <c r="BC26" i="5" s="1"/>
  <c r="J42" i="5"/>
  <c r="I100" i="5"/>
  <c r="BI64" i="5"/>
  <c r="AC64" i="5" s="1"/>
  <c r="AW94" i="5"/>
  <c r="BC94" i="5" s="1"/>
  <c r="AW37" i="5"/>
  <c r="BC37" i="5" s="1"/>
  <c r="BI55" i="5"/>
  <c r="AE55" i="5" s="1"/>
  <c r="I94" i="5"/>
  <c r="J97" i="5"/>
  <c r="BI67" i="5"/>
  <c r="AC67" i="5" s="1"/>
  <c r="J70" i="5"/>
  <c r="AX101" i="5"/>
  <c r="BC101" i="5" s="1"/>
  <c r="J50" i="5"/>
  <c r="I26" i="5"/>
  <c r="I24" i="5" s="1"/>
  <c r="D14" i="2" s="1"/>
  <c r="AX103" i="5"/>
  <c r="BC103" i="5" s="1"/>
  <c r="AX95" i="5"/>
  <c r="AV95" i="5" s="1"/>
  <c r="BI48" i="5"/>
  <c r="AE48" i="5" s="1"/>
  <c r="K60" i="5"/>
  <c r="F20" i="2" s="1"/>
  <c r="I20" i="2" s="1"/>
  <c r="BI13" i="5"/>
  <c r="AC13" i="5" s="1"/>
  <c r="J48" i="5"/>
  <c r="I98" i="5"/>
  <c r="AU35" i="5"/>
  <c r="AW58" i="5"/>
  <c r="AV58" i="5" s="1"/>
  <c r="I106" i="5"/>
  <c r="AW77" i="5"/>
  <c r="J13" i="5"/>
  <c r="J12" i="5" s="1"/>
  <c r="E11" i="2" s="1"/>
  <c r="BC13" i="5"/>
  <c r="AX38" i="5"/>
  <c r="AV38" i="5" s="1"/>
  <c r="BH98" i="5"/>
  <c r="AD98" i="5" s="1"/>
  <c r="AV78" i="5"/>
  <c r="BH106" i="5"/>
  <c r="AD106" i="5" s="1"/>
  <c r="I82" i="5"/>
  <c r="J59" i="5"/>
  <c r="AX92" i="5"/>
  <c r="AV92" i="5" s="1"/>
  <c r="BC78" i="5"/>
  <c r="BH16" i="5"/>
  <c r="AB16" i="5" s="1"/>
  <c r="BI95" i="5"/>
  <c r="AE95" i="5" s="1"/>
  <c r="BI50" i="5"/>
  <c r="AE50" i="5" s="1"/>
  <c r="AX40" i="5"/>
  <c r="J40" i="5"/>
  <c r="BI40" i="5"/>
  <c r="AE40" i="5" s="1"/>
  <c r="AW20" i="5"/>
  <c r="AV20" i="5" s="1"/>
  <c r="BF109" i="5"/>
  <c r="M108" i="5"/>
  <c r="G27" i="2" s="1"/>
  <c r="I23" i="5"/>
  <c r="I22" i="5" s="1"/>
  <c r="D13" i="2" s="1"/>
  <c r="BI28" i="5"/>
  <c r="AE28" i="5" s="1"/>
  <c r="J28" i="5"/>
  <c r="M27" i="5"/>
  <c r="G15" i="2" s="1"/>
  <c r="AL13" i="5"/>
  <c r="AU12" i="5" s="1"/>
  <c r="BH82" i="5"/>
  <c r="BI79" i="5"/>
  <c r="BH18" i="5"/>
  <c r="AB18" i="5" s="1"/>
  <c r="AW88" i="5"/>
  <c r="BH88" i="5"/>
  <c r="AD88" i="5" s="1"/>
  <c r="AX72" i="5"/>
  <c r="BC45" i="5"/>
  <c r="AV45" i="5"/>
  <c r="AV18" i="5"/>
  <c r="BC18" i="5"/>
  <c r="BC39" i="5"/>
  <c r="AV39" i="5"/>
  <c r="AV16" i="5"/>
  <c r="BC16" i="5"/>
  <c r="K96" i="5"/>
  <c r="F26" i="2" s="1"/>
  <c r="I26" i="2" s="1"/>
  <c r="AL97" i="5"/>
  <c r="AU96" i="5" s="1"/>
  <c r="AX88" i="5"/>
  <c r="J88" i="5"/>
  <c r="BI88" i="5"/>
  <c r="AE88" i="5" s="1"/>
  <c r="AV89" i="5"/>
  <c r="BC89" i="5"/>
  <c r="M62" i="5"/>
  <c r="G21" i="2" s="1"/>
  <c r="BF64" i="5"/>
  <c r="J79" i="5"/>
  <c r="I73" i="5"/>
  <c r="AV67" i="5"/>
  <c r="BF37" i="5"/>
  <c r="M35" i="5"/>
  <c r="G16" i="2" s="1"/>
  <c r="M84" i="5"/>
  <c r="G24" i="2" s="1"/>
  <c r="BF85" i="5"/>
  <c r="AX49" i="5"/>
  <c r="BI49" i="5"/>
  <c r="AE49" i="5" s="1"/>
  <c r="AL63" i="5"/>
  <c r="AU62" i="5" s="1"/>
  <c r="K62" i="5"/>
  <c r="F21" i="2" s="1"/>
  <c r="I21" i="2" s="1"/>
  <c r="I81" i="5"/>
  <c r="BH81" i="5"/>
  <c r="AW81" i="5"/>
  <c r="M75" i="5"/>
  <c r="G23" i="2" s="1"/>
  <c r="BH45" i="5"/>
  <c r="AD45" i="5" s="1"/>
  <c r="AL15" i="5"/>
  <c r="AU14" i="5" s="1"/>
  <c r="K14" i="5"/>
  <c r="F12" i="2" s="1"/>
  <c r="I12" i="2" s="1"/>
  <c r="BF26" i="5"/>
  <c r="M24" i="5"/>
  <c r="G14" i="2" s="1"/>
  <c r="BC56" i="5"/>
  <c r="AV56" i="5"/>
  <c r="I104" i="5"/>
  <c r="I102" i="5"/>
  <c r="BC106" i="5"/>
  <c r="AV106" i="5"/>
  <c r="BH100" i="5"/>
  <c r="AD100" i="5" s="1"/>
  <c r="BI83" i="5"/>
  <c r="BC74" i="5"/>
  <c r="AV74" i="5"/>
  <c r="J69" i="5"/>
  <c r="K52" i="5"/>
  <c r="F19" i="2" s="1"/>
  <c r="I19" i="2" s="1"/>
  <c r="AL53" i="5"/>
  <c r="AU52" i="5" s="1"/>
  <c r="BC79" i="5"/>
  <c r="AV79" i="5"/>
  <c r="AL74" i="5"/>
  <c r="AU73" i="5" s="1"/>
  <c r="K73" i="5"/>
  <c r="F22" i="2" s="1"/>
  <c r="I22" i="2" s="1"/>
  <c r="BF53" i="5"/>
  <c r="M52" i="5"/>
  <c r="G19" i="2" s="1"/>
  <c r="M22" i="5"/>
  <c r="G13" i="2" s="1"/>
  <c r="BF23" i="5"/>
  <c r="AX77" i="5"/>
  <c r="BI77" i="5"/>
  <c r="BH25" i="5"/>
  <c r="AB25" i="5" s="1"/>
  <c r="AW25" i="5"/>
  <c r="BH39" i="5"/>
  <c r="AD39" i="5" s="1"/>
  <c r="I16" i="5"/>
  <c r="AX63" i="5"/>
  <c r="J63" i="5"/>
  <c r="BI63" i="5"/>
  <c r="AC63" i="5" s="1"/>
  <c r="BH58" i="5"/>
  <c r="AD58" i="5" s="1"/>
  <c r="BI81" i="5"/>
  <c r="J81" i="5"/>
  <c r="AV57" i="5"/>
  <c r="I45" i="5"/>
  <c r="I44" i="5" s="1"/>
  <c r="D17" i="2" s="1"/>
  <c r="AX21" i="5"/>
  <c r="J21" i="5"/>
  <c r="BI21" i="5"/>
  <c r="AC21" i="5" s="1"/>
  <c r="J68" i="5"/>
  <c r="AX68" i="5"/>
  <c r="I92" i="5"/>
  <c r="BH92" i="5"/>
  <c r="AD92" i="5" s="1"/>
  <c r="AV46" i="5"/>
  <c r="I49" i="5"/>
  <c r="AV85" i="5"/>
  <c r="BC85" i="5"/>
  <c r="M44" i="5"/>
  <c r="G17" i="2" s="1"/>
  <c r="BF45" i="5"/>
  <c r="BC100" i="5"/>
  <c r="AV100" i="5"/>
  <c r="K91" i="5"/>
  <c r="F25" i="2" s="1"/>
  <c r="I25" i="2" s="1"/>
  <c r="AL92" i="5"/>
  <c r="AU91" i="5" s="1"/>
  <c r="J90" i="5"/>
  <c r="BI90" i="5"/>
  <c r="AE90" i="5" s="1"/>
  <c r="AX90" i="5"/>
  <c r="BH74" i="5"/>
  <c r="AF74" i="5" s="1"/>
  <c r="K35" i="5"/>
  <c r="F16" i="2" s="1"/>
  <c r="I16" i="2" s="1"/>
  <c r="I39" i="5"/>
  <c r="I35" i="5" s="1"/>
  <c r="D16" i="2" s="1"/>
  <c r="BH20" i="5"/>
  <c r="AB20" i="5" s="1"/>
  <c r="AW19" i="5"/>
  <c r="BH19" i="5"/>
  <c r="AB19" i="5" s="1"/>
  <c r="I19" i="5"/>
  <c r="AV71" i="5"/>
  <c r="BC71" i="5"/>
  <c r="BC36" i="5"/>
  <c r="AV36" i="5"/>
  <c r="AX15" i="5"/>
  <c r="J15" i="5"/>
  <c r="BI15" i="5"/>
  <c r="AC15" i="5" s="1"/>
  <c r="BC105" i="5"/>
  <c r="AV105" i="5"/>
  <c r="BC54" i="5"/>
  <c r="AV54" i="5"/>
  <c r="BH104" i="5"/>
  <c r="AD104" i="5" s="1"/>
  <c r="AV101" i="5"/>
  <c r="AX83" i="5"/>
  <c r="BC83" i="5" s="1"/>
  <c r="BH54" i="5"/>
  <c r="AD54" i="5" s="1"/>
  <c r="F15" i="2"/>
  <c r="I15" i="2" s="1"/>
  <c r="AU27" i="5"/>
  <c r="BH56" i="5"/>
  <c r="AD56" i="5" s="1"/>
  <c r="BH37" i="5"/>
  <c r="AD37" i="5" s="1"/>
  <c r="BC42" i="5"/>
  <c r="AV42" i="5"/>
  <c r="K22" i="5"/>
  <c r="F13" i="2" s="1"/>
  <c r="I13" i="2" s="1"/>
  <c r="AL23" i="5"/>
  <c r="AU22" i="5" s="1"/>
  <c r="AW68" i="5"/>
  <c r="I68" i="5"/>
  <c r="AV41" i="5"/>
  <c r="BC41" i="5"/>
  <c r="AX19" i="5"/>
  <c r="J19" i="5"/>
  <c r="BI19" i="5"/>
  <c r="AC19" i="5" s="1"/>
  <c r="AV48" i="5"/>
  <c r="BC48" i="5"/>
  <c r="AW21" i="5"/>
  <c r="I21" i="5"/>
  <c r="BH21" i="5"/>
  <c r="AB21" i="5" s="1"/>
  <c r="AW80" i="5"/>
  <c r="F11" i="2"/>
  <c r="I11" i="2" s="1"/>
  <c r="AW63" i="5"/>
  <c r="BH63" i="5"/>
  <c r="AB63" i="5" s="1"/>
  <c r="I63" i="5"/>
  <c r="AW15" i="5"/>
  <c r="I15" i="5"/>
  <c r="BH15" i="5"/>
  <c r="AB15" i="5" s="1"/>
  <c r="I80" i="5"/>
  <c r="AV102" i="5"/>
  <c r="BC102" i="5"/>
  <c r="I51" i="5"/>
  <c r="AW51" i="5"/>
  <c r="BC104" i="5"/>
  <c r="AV104" i="5"/>
  <c r="BI89" i="5"/>
  <c r="AE89" i="5" s="1"/>
  <c r="I54" i="5"/>
  <c r="I90" i="5"/>
  <c r="BH90" i="5"/>
  <c r="AD90" i="5" s="1"/>
  <c r="AW90" i="5"/>
  <c r="AX69" i="5"/>
  <c r="I56" i="5"/>
  <c r="M73" i="5"/>
  <c r="G22" i="2" s="1"/>
  <c r="BF74" i="5"/>
  <c r="AU75" i="5"/>
  <c r="BC66" i="5"/>
  <c r="AW49" i="5"/>
  <c r="BH51" i="5"/>
  <c r="AW32" i="5"/>
  <c r="I32" i="5"/>
  <c r="BH32" i="5"/>
  <c r="AD32" i="5" s="1"/>
  <c r="K24" i="5"/>
  <c r="F14" i="2" s="1"/>
  <c r="I14" i="2" s="1"/>
  <c r="J44" i="5"/>
  <c r="E17" i="2" s="1"/>
  <c r="M96" i="5"/>
  <c r="G26" i="2" s="1"/>
  <c r="BF97" i="5"/>
  <c r="AV64" i="5"/>
  <c r="BC64" i="5"/>
  <c r="BH50" i="5"/>
  <c r="AD50" i="5" s="1"/>
  <c r="AW50" i="5"/>
  <c r="K84" i="5"/>
  <c r="F24" i="2" s="1"/>
  <c r="I24" i="2" s="1"/>
  <c r="AL85" i="5"/>
  <c r="AU84" i="5" s="1"/>
  <c r="BH61" i="5"/>
  <c r="AB61" i="5" s="1"/>
  <c r="AW61" i="5"/>
  <c r="I109" i="5"/>
  <c r="I108" i="5" s="1"/>
  <c r="AW109" i="5"/>
  <c r="J92" i="5"/>
  <c r="M91" i="5"/>
  <c r="G25" i="2" s="1"/>
  <c r="BF92" i="5"/>
  <c r="BC98" i="5"/>
  <c r="AV98" i="5"/>
  <c r="AV82" i="5"/>
  <c r="BC82" i="5"/>
  <c r="J89" i="5"/>
  <c r="AV87" i="5"/>
  <c r="BC87" i="5"/>
  <c r="BI86" i="5"/>
  <c r="AE86" i="5" s="1"/>
  <c r="AX86" i="5"/>
  <c r="J86" i="5"/>
  <c r="AW86" i="5"/>
  <c r="I86" i="5"/>
  <c r="BH86" i="5"/>
  <c r="AD86" i="5" s="1"/>
  <c r="BC53" i="5"/>
  <c r="AV53" i="5"/>
  <c r="BC28" i="5"/>
  <c r="AV28" i="5"/>
  <c r="K75" i="5"/>
  <c r="F23" i="2" s="1"/>
  <c r="I23" i="2" s="1"/>
  <c r="BF51" i="5"/>
  <c r="M47" i="5"/>
  <c r="G18" i="2" s="1"/>
  <c r="K47" i="5"/>
  <c r="F18" i="2" s="1"/>
  <c r="I18" i="2" s="1"/>
  <c r="AL48" i="5"/>
  <c r="AU47" i="5" s="1"/>
  <c r="AW30" i="5"/>
  <c r="I30" i="5"/>
  <c r="BH30" i="5"/>
  <c r="AD30" i="5" s="1"/>
  <c r="AX17" i="5"/>
  <c r="J17" i="5"/>
  <c r="BI17" i="5"/>
  <c r="AC17" i="5" s="1"/>
  <c r="AL45" i="5"/>
  <c r="AU44" i="5" s="1"/>
  <c r="K44" i="5"/>
  <c r="F17" i="2" s="1"/>
  <c r="I17" i="2" s="1"/>
  <c r="BC70" i="5"/>
  <c r="AV70" i="5"/>
  <c r="BC59" i="5" l="1"/>
  <c r="AV107" i="5"/>
  <c r="BC99" i="5"/>
  <c r="AV55" i="5"/>
  <c r="BC76" i="5"/>
  <c r="J52" i="5"/>
  <c r="E19" i="2" s="1"/>
  <c r="AV26" i="5"/>
  <c r="BC23" i="5"/>
  <c r="AV94" i="5"/>
  <c r="J91" i="5"/>
  <c r="E25" i="2" s="1"/>
  <c r="I27" i="5"/>
  <c r="D15" i="2" s="1"/>
  <c r="AV31" i="5"/>
  <c r="AV97" i="5"/>
  <c r="AV34" i="5"/>
  <c r="J27" i="5"/>
  <c r="E15" i="2" s="1"/>
  <c r="F28" i="2"/>
  <c r="BC69" i="5"/>
  <c r="AV103" i="5"/>
  <c r="AV37" i="5"/>
  <c r="AV43" i="5"/>
  <c r="J96" i="5"/>
  <c r="E26" i="2" s="1"/>
  <c r="BC95" i="5"/>
  <c r="BC65" i="5"/>
  <c r="I91" i="5"/>
  <c r="D25" i="2" s="1"/>
  <c r="BC29" i="5"/>
  <c r="AV29" i="5"/>
  <c r="BC38" i="5"/>
  <c r="I84" i="5"/>
  <c r="D24" i="2" s="1"/>
  <c r="J75" i="5"/>
  <c r="E23" i="2" s="1"/>
  <c r="C21" i="3" s="1"/>
  <c r="BC20" i="5"/>
  <c r="J84" i="5"/>
  <c r="E24" i="2" s="1"/>
  <c r="J47" i="5"/>
  <c r="E18" i="2" s="1"/>
  <c r="I96" i="5"/>
  <c r="D26" i="2" s="1"/>
  <c r="J35" i="5"/>
  <c r="E16" i="2" s="1"/>
  <c r="BC58" i="5"/>
  <c r="BC92" i="5"/>
  <c r="I75" i="5"/>
  <c r="D23" i="2" s="1"/>
  <c r="BC77" i="5"/>
  <c r="I47" i="5"/>
  <c r="D18" i="2" s="1"/>
  <c r="AV77" i="5"/>
  <c r="AV83" i="5"/>
  <c r="J62" i="5"/>
  <c r="E21" i="2" s="1"/>
  <c r="C15" i="3" s="1"/>
  <c r="BC40" i="5"/>
  <c r="AV40" i="5"/>
  <c r="AV72" i="5"/>
  <c r="BC72" i="5"/>
  <c r="I52" i="5"/>
  <c r="D19" i="2" s="1"/>
  <c r="BC32" i="5"/>
  <c r="AV32" i="5"/>
  <c r="BC68" i="5"/>
  <c r="AV68" i="5"/>
  <c r="BC21" i="5"/>
  <c r="AV21" i="5"/>
  <c r="AV69" i="5"/>
  <c r="AV63" i="5"/>
  <c r="BC63" i="5"/>
  <c r="AV109" i="5"/>
  <c r="BC109" i="5"/>
  <c r="AV50" i="5"/>
  <c r="BC50" i="5"/>
  <c r="BC49" i="5"/>
  <c r="AV49" i="5"/>
  <c r="K110" i="5"/>
  <c r="BC81" i="5"/>
  <c r="AV81" i="5"/>
  <c r="AV88" i="5"/>
  <c r="BC88" i="5"/>
  <c r="BC17" i="5"/>
  <c r="AV17" i="5"/>
  <c r="BC86" i="5"/>
  <c r="AV86" i="5"/>
  <c r="BC30" i="5"/>
  <c r="AV30" i="5"/>
  <c r="I14" i="5"/>
  <c r="D12" i="2" s="1"/>
  <c r="AV80" i="5"/>
  <c r="BC80" i="5"/>
  <c r="AV61" i="5"/>
  <c r="BC61" i="5"/>
  <c r="BC51" i="5"/>
  <c r="AV51" i="5"/>
  <c r="BC15" i="5"/>
  <c r="AV15" i="5"/>
  <c r="BC25" i="5"/>
  <c r="AV25" i="5"/>
  <c r="BC90" i="5"/>
  <c r="AV90" i="5"/>
  <c r="I62" i="5"/>
  <c r="D21" i="2" s="1"/>
  <c r="C14" i="3" s="1"/>
  <c r="J14" i="5"/>
  <c r="E12" i="2" s="1"/>
  <c r="BC19" i="5"/>
  <c r="AV19" i="5"/>
  <c r="C16" i="3" l="1"/>
  <c r="C17" i="3"/>
  <c r="C22" i="3" s="1"/>
  <c r="C29" i="3" s="1"/>
  <c r="F29" i="3" s="1"/>
  <c r="I28" i="3" l="1"/>
  <c r="I29" i="3" s="1"/>
</calcChain>
</file>

<file path=xl/sharedStrings.xml><?xml version="1.0" encoding="utf-8"?>
<sst xmlns="http://schemas.openxmlformats.org/spreadsheetml/2006/main" count="1840" uniqueCount="531">
  <si>
    <t>Stavební rozpočet</t>
  </si>
  <si>
    <t>Název stavby:</t>
  </si>
  <si>
    <t>Doba výstavby: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</si>
  <si>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</si>
  <si>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</si>
  <si>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</si>
  <si>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</si>
  <si>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</si>
  <si>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</si>
  <si>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</si>
  <si>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</si>
  <si>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</si>
  <si>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</si>
  <si>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</si>
  <si>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</si>
  <si>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</si>
  <si>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</si>
  <si>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</si>
  <si>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GROUPCODE</t>
  </si>
  <si>
    <t>ISWORK</t>
  </si>
  <si>
    <t xml:space="preserve"> </t>
  </si>
  <si>
    <t>34</t>
  </si>
  <si>
    <t>Stěny a příčky</t>
  </si>
  <si>
    <t>342262724R00</t>
  </si>
  <si>
    <t>Příčka sádrokartonová tl. 150 mm, 1x ocel.konstrukce CW 100, izolace, 2x opláštěná, tl.12,5mm</t>
  </si>
  <si>
    <t>m2</t>
  </si>
  <si>
    <t>P</t>
  </si>
  <si>
    <t>60</t>
  </si>
  <si>
    <t>Omítky ze suchých směsí</t>
  </si>
  <si>
    <t>601011102R00</t>
  </si>
  <si>
    <t>Postřik na stropech/podhledech cementový ručně 75 %</t>
  </si>
  <si>
    <t>601011112RT3</t>
  </si>
  <si>
    <t>Omítka na stropech/podhledech jádrová vápenocementová  ručně 75%</t>
  </si>
  <si>
    <t>601011141R00</t>
  </si>
  <si>
    <t>Omítka na stropech/podhledech štuková vápenná, vnitřní,   ručně 100%</t>
  </si>
  <si>
    <t>612425931RT2</t>
  </si>
  <si>
    <t>Omítka vápenná vnitřního ostění - štuková</t>
  </si>
  <si>
    <t>602011102R00</t>
  </si>
  <si>
    <t>Postřik na stěnách cementový  ručně 75%</t>
  </si>
  <si>
    <t>602011112RT3</t>
  </si>
  <si>
    <t>Omítka na stěnách jádrová vápenocementová  ručně 75 %</t>
  </si>
  <si>
    <t>602011141RT1</t>
  </si>
  <si>
    <t>Omítka na stěnách štuková vápenná vnitřní  ručně 100%</t>
  </si>
  <si>
    <t>63</t>
  </si>
  <si>
    <t>Podlahy a podlahové konstrukce</t>
  </si>
  <si>
    <t>632451021R00</t>
  </si>
  <si>
    <t>Vyrovnávací potěr MC 15, v pásu, tl. do 20 mm</t>
  </si>
  <si>
    <t>64</t>
  </si>
  <si>
    <t>Výplně otvorů</t>
  </si>
  <si>
    <t>642942221R00</t>
  </si>
  <si>
    <t>Osazení zárubní dveřních ocelových, pl. do 4,5 m2</t>
  </si>
  <si>
    <t>kus</t>
  </si>
  <si>
    <t>5533100471</t>
  </si>
  <si>
    <t>Zárubeň ocelová HSE  150 rozměr 1250 x 1970 mm D</t>
  </si>
  <si>
    <t>M</t>
  </si>
  <si>
    <t>766</t>
  </si>
  <si>
    <t>Konstrukce truhlářské</t>
  </si>
  <si>
    <t>M+D okno plastové atyp a otvíravé plochy do 4 m2, zapuštěná montáž, těsnění spáry</t>
  </si>
  <si>
    <t>766661132R00</t>
  </si>
  <si>
    <t>Montáž dveří do zárubně,otevíravých 2kř.do 1,45 m</t>
  </si>
  <si>
    <t>61160826</t>
  </si>
  <si>
    <t>Dveře dřevěné interiérové  1250 x 1970 mm  PC</t>
  </si>
  <si>
    <t>766670021R00</t>
  </si>
  <si>
    <t>Montáž kliky a štítku</t>
  </si>
  <si>
    <t>54914633</t>
  </si>
  <si>
    <t>Kování dveřní  PC</t>
  </si>
  <si>
    <t>766690010RAA</t>
  </si>
  <si>
    <t>Desky parapetní vnitřní  aglomer. dodávka a montáž - šířka 20 cm</t>
  </si>
  <si>
    <t>m</t>
  </si>
  <si>
    <t>998766201R00</t>
  </si>
  <si>
    <t>Přesun hmot pro truhlářské konstr., výšky do 6 m</t>
  </si>
  <si>
    <t>%</t>
  </si>
  <si>
    <t>771</t>
  </si>
  <si>
    <t>Podlahy z dlaždic</t>
  </si>
  <si>
    <t>771101210RT2</t>
  </si>
  <si>
    <t>Penetrace podkladu pod dlažby</t>
  </si>
  <si>
    <t>771575206RW3</t>
  </si>
  <si>
    <t>Montáž podlah z dlaždic protiskluzných keramických, do tmele</t>
  </si>
  <si>
    <t>597643212</t>
  </si>
  <si>
    <t>Dlaždice keramická  protiskluz R 10 PC</t>
  </si>
  <si>
    <t>771475014RW1</t>
  </si>
  <si>
    <t>Montáž soklíků rovných z dlaždic keramických, do tmele, výšky do 100 mm</t>
  </si>
  <si>
    <t>59764360</t>
  </si>
  <si>
    <t>Sokl keramický   h 80  PC</t>
  </si>
  <si>
    <t>771577133RS2</t>
  </si>
  <si>
    <t>Lišta nerezová přechodová, stejná výška dlaždic</t>
  </si>
  <si>
    <t>771578011R00</t>
  </si>
  <si>
    <t>Spára podlaha - stěna, silikonem</t>
  </si>
  <si>
    <t>998771201R00</t>
  </si>
  <si>
    <t>Přesun hmot pro podlahy z dlaždic, výšky do 6 m</t>
  </si>
  <si>
    <t>776</t>
  </si>
  <si>
    <t>Podlahy povlakové</t>
  </si>
  <si>
    <t>776511820R00</t>
  </si>
  <si>
    <t>Odstranění PVC a koberců lepených s podložkou</t>
  </si>
  <si>
    <t>776401800R00</t>
  </si>
  <si>
    <t>Demontáž soklíků nebo lišt, pryžových nebo z PVC</t>
  </si>
  <si>
    <t>777</t>
  </si>
  <si>
    <t>Podlahy ze syntetických hmot</t>
  </si>
  <si>
    <t>777553010R00</t>
  </si>
  <si>
    <t>Penetrace savého podkladu disperzí pod Nivelit</t>
  </si>
  <si>
    <t>777553210R00</t>
  </si>
  <si>
    <t>Vyrovnání podlahy, samonivelační hmota Nivelit tl. 2 mm</t>
  </si>
  <si>
    <t>777553219R00</t>
  </si>
  <si>
    <t>Příplatek za každé 2 mm, vyrovnání podlah samonivelační hmotou Nivelit</t>
  </si>
  <si>
    <t>998777201R00</t>
  </si>
  <si>
    <t>Přesun hmot pro podlahy syntetické, výšky do 6 m</t>
  </si>
  <si>
    <t>784</t>
  </si>
  <si>
    <t>Malby</t>
  </si>
  <si>
    <t>784011222RT2</t>
  </si>
  <si>
    <t>Zakrytí podlah, včetně odstranění</t>
  </si>
  <si>
    <t>784011221RT2</t>
  </si>
  <si>
    <t>Zakrytí předmětů, včetně odstranění</t>
  </si>
  <si>
    <t>784402801R00</t>
  </si>
  <si>
    <t>Odstranění malby oškrábáním v místnosti H do 3,8 m</t>
  </si>
  <si>
    <t>784161101R00</t>
  </si>
  <si>
    <t>Penetrace podkladu nátěrem HET, A - Grund 1x</t>
  </si>
  <si>
    <t>784165512R00</t>
  </si>
  <si>
    <t>Malba HET Klasik, bílá, bez penetrace, 2 x</t>
  </si>
  <si>
    <t>784165811R00</t>
  </si>
  <si>
    <t>Malba Hetline pro SDK, bílá, bez pen., 1 x</t>
  </si>
  <si>
    <t>784167101R00</t>
  </si>
  <si>
    <t>Vyhlazení disperzním tmelem HET, Ditmel, 1x (1 mm)</t>
  </si>
  <si>
    <t>95</t>
  </si>
  <si>
    <t>Různé dokončovací konstrukce a práce na pozemních stavbách</t>
  </si>
  <si>
    <t>952901111R00</t>
  </si>
  <si>
    <t>Vyčištění budov o výšce podlaží do 4 m</t>
  </si>
  <si>
    <t>96</t>
  </si>
  <si>
    <t>Bourání konstrukcí</t>
  </si>
  <si>
    <t>963016113R00</t>
  </si>
  <si>
    <t>Demontáž podhledu, kovová kce.,</t>
  </si>
  <si>
    <t>962036125R00</t>
  </si>
  <si>
    <t>Demontáž  stáv syst příčky</t>
  </si>
  <si>
    <t>Bourání parapetů plastových š. do 20 cm</t>
  </si>
  <si>
    <t>968061125R00</t>
  </si>
  <si>
    <t>Vyvěšení dřevěných a plastových dveřních křídel pl. do 2 m2</t>
  </si>
  <si>
    <t>968072456R00</t>
  </si>
  <si>
    <t>Vybourání kovových dveřních zárubní pl. nad 2 m2</t>
  </si>
  <si>
    <t>Vybourání plastových oken do 4 m2</t>
  </si>
  <si>
    <t>Vyvěšení dřevěných a plastových okenních křídel pl. nad 1,5 m2</t>
  </si>
  <si>
    <t>965048515R00</t>
  </si>
  <si>
    <t>Broušení betonových povrchů do tl. 5 mm</t>
  </si>
  <si>
    <t>965048516R00</t>
  </si>
  <si>
    <t>Příplatek za každý další 1 mm broušení bet.povrchu</t>
  </si>
  <si>
    <t>978011191R00</t>
  </si>
  <si>
    <t>Otlučení omítek vnitřních vápenných stropů do 100% -plocha 75 %</t>
  </si>
  <si>
    <t>978013191R00</t>
  </si>
  <si>
    <t>Otlučení omítek vnitřních stěn v rozsahu do 100 % - plocha 75 %</t>
  </si>
  <si>
    <t>971033431R00</t>
  </si>
  <si>
    <t>Vybourání otvorů příčky z cihel tl. 140 mm rozměr  250x250 mm</t>
  </si>
  <si>
    <t>971052331R00</t>
  </si>
  <si>
    <t>Vybour otv. obvodové zdi z vyzdívkat tl. 300 mm, KZS tl. 100 mm rozměr 250 x 250 cm</t>
  </si>
  <si>
    <t>M21</t>
  </si>
  <si>
    <t>Elektromontáže</t>
  </si>
  <si>
    <t>21099001</t>
  </si>
  <si>
    <t>Oprava elektroinstalace</t>
  </si>
  <si>
    <t>soubor</t>
  </si>
  <si>
    <t>S</t>
  </si>
  <si>
    <t>Přesuny sutí</t>
  </si>
  <si>
    <t>979011111R00</t>
  </si>
  <si>
    <t>Svislá doprava suti a vybour. hmot za 2.NP a 1.PP</t>
  </si>
  <si>
    <t>t</t>
  </si>
  <si>
    <t>979081111R00</t>
  </si>
  <si>
    <t>Odvoz suti a vybour. hmot na skládku do 1 km</t>
  </si>
  <si>
    <t>979081121R00</t>
  </si>
  <si>
    <t>Příplatek k odvozu za každý další 1 km</t>
  </si>
  <si>
    <t>979086112R00</t>
  </si>
  <si>
    <t>Nakládání nebo překládání suti a vybouraných hmot</t>
  </si>
  <si>
    <t>979093111R00</t>
  </si>
  <si>
    <t>Uložení suti na skládku bez zhutnění</t>
  </si>
  <si>
    <t>979990107R00</t>
  </si>
  <si>
    <t>Poplatek za uložení suti - směs betonu, cihel, dřeva, skupina odpadu 170904</t>
  </si>
  <si>
    <t>979990181R00</t>
  </si>
  <si>
    <t>Poplatek za uložení suti - PVC podlahová krytina, skupina odpadu 200307</t>
  </si>
  <si>
    <t>979990110R00</t>
  </si>
  <si>
    <t>Poplatek za uložení suti - sádrokartonové desky, skupina odpadu 170802</t>
  </si>
  <si>
    <t>720</t>
  </si>
  <si>
    <t>Zdravotechnická instalace</t>
  </si>
  <si>
    <t>974031142R00</t>
  </si>
  <si>
    <t>Vysekání rýh ve zdi cihelné 7 x 7 cm</t>
  </si>
  <si>
    <t>974031153R00</t>
  </si>
  <si>
    <t>Vysekání rýh ve zdi cihelné 10 x 10 cm</t>
  </si>
  <si>
    <t>974042542R00</t>
  </si>
  <si>
    <t>Vysekání rýh v podlaze betonové, 7x7 cm</t>
  </si>
  <si>
    <t>612401291R00</t>
  </si>
  <si>
    <t>Omítka malých ploch vnitřních stěn do 0,25 m2</t>
  </si>
  <si>
    <t>612403386R00</t>
  </si>
  <si>
    <t>Hrubá výplň rýh ve stěnách do 10x10cm maltou z SMS</t>
  </si>
  <si>
    <t>631312141R00</t>
  </si>
  <si>
    <t>Doplnění rýh betonem v dosavadních mazaninách</t>
  </si>
  <si>
    <t>m3</t>
  </si>
  <si>
    <t>721</t>
  </si>
  <si>
    <t>Vnitřní kanalizace</t>
  </si>
  <si>
    <t>721170902R00</t>
  </si>
  <si>
    <t>Provedení opravy vnitřní kanalizace, potrubí plastové, vsazení odbočky, D 40 mm</t>
  </si>
  <si>
    <t>721176102R00</t>
  </si>
  <si>
    <t>Potrubí HT připojovací, D 40 x 1,8 mm</t>
  </si>
  <si>
    <t>721194104R00</t>
  </si>
  <si>
    <t>Vyvedení odpadních výpustek, D 40 x 1,8 mm</t>
  </si>
  <si>
    <t>721290111R00</t>
  </si>
  <si>
    <t>Zkouška těsnosti kanalizace vodou</t>
  </si>
  <si>
    <t>722</t>
  </si>
  <si>
    <t>Vnitřní vodovod</t>
  </si>
  <si>
    <t>722172311R00</t>
  </si>
  <si>
    <t>Potrubí plastové PP-R Instaplast, včetně zednických výpomocí, D 20 x 2,8 mm, PN 16</t>
  </si>
  <si>
    <t>722172331R00</t>
  </si>
  <si>
    <t>Potrubí plastové PP-R Instaplast, včetně zednických výpomocí, D 20 x 3,4 mm, PN 20</t>
  </si>
  <si>
    <t>722202432R00</t>
  </si>
  <si>
    <t>Kohout kulový rozebíratelný PP-R INSTAPLAST, D 20 mm</t>
  </si>
  <si>
    <t>722170911R00</t>
  </si>
  <si>
    <t>Oprava plastového potrubí, vsazení odbočky D 32 mm</t>
  </si>
  <si>
    <t>722181212RT7</t>
  </si>
  <si>
    <t>Izolace návleková MIRELON PRO tl. stěny 9 mm</t>
  </si>
  <si>
    <t>722181213RT7</t>
  </si>
  <si>
    <t>Izolace návleková MIRELON PRO tl. stěny 13 mm</t>
  </si>
  <si>
    <t>722202213R00</t>
  </si>
  <si>
    <t>Nástěnka MZD PP-R INSTAPLAST, D 20 mm x R 1/2"</t>
  </si>
  <si>
    <t>722190901R00</t>
  </si>
  <si>
    <t>Uzavření/otevření vodovodního potrubí při opravě</t>
  </si>
  <si>
    <t>722130901R00</t>
  </si>
  <si>
    <t>Zazátkování vývodu</t>
  </si>
  <si>
    <t>722280106R00</t>
  </si>
  <si>
    <t>Tlaková zkouška vodovodního potrubí DN 32</t>
  </si>
  <si>
    <t>999281108R00</t>
  </si>
  <si>
    <t>Přesun hmot pro opravy a údržbu do výšky 12 m</t>
  </si>
  <si>
    <t>728</t>
  </si>
  <si>
    <t>Vzduchotechnika</t>
  </si>
  <si>
    <t>7289901</t>
  </si>
  <si>
    <t>Oprava a úprava vzduchotechnicky</t>
  </si>
  <si>
    <t>Celkem:</t>
  </si>
  <si>
    <t>Stavební rozpočet - rekapitulace</t>
  </si>
  <si>
    <t>05.04.2025</t>
  </si>
  <si>
    <t>Objekt</t>
  </si>
  <si>
    <t>Náklady (Kč) - dodávka</t>
  </si>
  <si>
    <t>Náklady (Kč) - Montáž</t>
  </si>
  <si>
    <t>Náklady (Kč) - celkem</t>
  </si>
  <si>
    <t>Celková hmotnost (t)</t>
  </si>
  <si>
    <t/>
  </si>
  <si>
    <t>T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</si>
  <si>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</si>
  <si>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</si>
  <si>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</si>
  <si>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</si>
  <si>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</si>
  <si>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</si>
  <si>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</si>
  <si>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</si>
  <si>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</si>
  <si>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</si>
  <si>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</si>
  <si>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</si>
  <si>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</si>
  <si>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</si>
  <si>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</si>
  <si>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</si>
  <si>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</si>
  <si>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</si>
  <si>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</si>
  <si>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Provozní vlivy</t>
  </si>
  <si>
    <t>"M"</t>
  </si>
  <si>
    <t>Ostatní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</si>
  <si>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</si>
  <si>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</si>
  <si>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</si>
  <si>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</si>
  <si>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</si>
  <si>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</si>
  <si>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</si>
  <si>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</si>
  <si>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</si>
  <si>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</si>
  <si>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</si>
  <si>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</si>
  <si>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</si>
  <si>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</si>
  <si>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</si>
  <si>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</si>
  <si>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</si>
  <si>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</si>
  <si>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</si>
  <si>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</si>
  <si>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</si>
  <si>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</si>
  <si>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</si>
  <si>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</si>
  <si>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</si>
  <si>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</si>
  <si>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</si>
  <si>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</si>
  <si>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</si>
  <si>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</si>
  <si>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</si>
  <si>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</si>
  <si>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 </t>
  </si>
  <si>
    <t>REKONSTRUKCE MÍSTNOSTI RD110</t>
  </si>
  <si>
    <t>17. listopadu 2172/15, 708 00 Ostrava - Poruba</t>
  </si>
  <si>
    <t>Cena/MJ</t>
  </si>
  <si>
    <t>Náklady (Kč)</t>
  </si>
  <si>
    <t>Hmotnost (t)</t>
  </si>
  <si>
    <t>Cenová</t>
  </si>
  <si>
    <t>VATTAX</t>
  </si>
  <si>
    <t>Rozměry</t>
  </si>
  <si>
    <t>(Kč)</t>
  </si>
  <si>
    <t>Dodávka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</si>
  <si>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</si>
  <si>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</si>
  <si>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</si>
  <si>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</si>
  <si>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</si>
  <si>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</si>
  <si>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</si>
  <si>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</si>
  <si>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</si>
  <si>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</si>
  <si>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</si>
  <si>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</si>
  <si>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</si>
  <si>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</si>
  <si>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</si>
  <si>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</si>
  <si>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RTS I / 2025</t>
  </si>
  <si>
    <t>34_</t>
  </si>
  <si>
    <t>3_</t>
  </si>
  <si>
    <t>_</t>
  </si>
  <si>
    <t>2</t>
  </si>
  <si>
    <t>60_</t>
  </si>
  <si>
    <t>6_</t>
  </si>
  <si>
    <t>3</t>
  </si>
  <si>
    <t>4</t>
  </si>
  <si>
    <t>5</t>
  </si>
  <si>
    <t>6</t>
  </si>
  <si>
    <t>7</t>
  </si>
  <si>
    <t>8</t>
  </si>
  <si>
    <t>9</t>
  </si>
  <si>
    <t>63_</t>
  </si>
  <si>
    <t>10</t>
  </si>
  <si>
    <t>64_</t>
  </si>
  <si>
    <t>11</t>
  </si>
  <si>
    <t>766_</t>
  </si>
  <si>
    <t>76_</t>
  </si>
  <si>
    <t>771_</t>
  </si>
  <si>
    <t>77_</t>
  </si>
  <si>
    <t>776_</t>
  </si>
  <si>
    <t>777_</t>
  </si>
  <si>
    <t>784_</t>
  </si>
  <si>
    <t>78_</t>
  </si>
  <si>
    <t>95_</t>
  </si>
  <si>
    <t>9_</t>
  </si>
  <si>
    <t>96_</t>
  </si>
  <si>
    <t>42</t>
  </si>
  <si>
    <t>43</t>
  </si>
  <si>
    <t>44</t>
  </si>
  <si>
    <t>45</t>
  </si>
  <si>
    <t>46</t>
  </si>
  <si>
    <t>RTS II / 2025</t>
  </si>
  <si>
    <t>M21_</t>
  </si>
  <si>
    <t>S_</t>
  </si>
  <si>
    <t>720_</t>
  </si>
  <si>
    <t>72_</t>
  </si>
  <si>
    <t>721_</t>
  </si>
  <si>
    <t>722_</t>
  </si>
  <si>
    <t>0</t>
  </si>
  <si>
    <t>728_</t>
  </si>
  <si>
    <t>Instalacní hlavní vypínac 63 A, 3P
Jmenovitý krátkodobý výdržný proud Icw = 12 x Ie, 1</t>
  </si>
  <si>
    <t>Svodic prepetí  275/12,5</t>
  </si>
  <si>
    <t>Oddelovací ochranný transformátor 230 V/230 V, 250 VA
svorky na prim. +/- 5%; jednofázový; IP 00</t>
  </si>
  <si>
    <t>Instalacní napájecí zdroj spínaný 230 V/24 V DC, 1.5 A
Na DIN, vhodný pro SELV, PELV, IP 20, zarízení trídy ochrany II, bezpecnostní ochranný
transformátor</t>
  </si>
  <si>
    <t>Pojistkový odpínac 1P,32A-850001585
1-pólový, 10 x 38, 32A gG</t>
  </si>
  <si>
    <t>Instalacní stykac 25 A, 4Z (4NO), 24 V AC
Jmenovitý výkon AC-3/230V 1,30kW, Jmenovitý výkon AC-3/400V 4kW</t>
  </si>
  <si>
    <t>Instalacní stykac 25 A, 4Z (4NO) kontakty, 230 V AC
Jmenovitý výkon AC-3/230 V 1,30kW, Jmenovitý výkon AC-3/400 V 4kW</t>
  </si>
  <si>
    <t>Instalacní stykac 25 A,3Z+1R (3NO+1NC), 230 V AC, 2TE
Jmenovitý výkon AC-3/230V 1,30kW, Jmenovitý výkon AC-3/400V 4kW</t>
  </si>
  <si>
    <t>Instalacní stykac 20 A, 2Z (2NO), 230 V AC, 1TE
Jmenovitý výkon AC-3/230 V 1,10kW</t>
  </si>
  <si>
    <t>Instalacní spínací hodiny mechanické, 1Z, se zálohou chodu
denní, 16 A, 230 V AC, 1kanálové (1NO), záloha chodu cca 100h</t>
  </si>
  <si>
    <t>Svorka 6mm,bezšroubová</t>
  </si>
  <si>
    <t>Svorka bezšroubová 6mm, zeleno/žlutá</t>
  </si>
  <si>
    <t>Svorkovnice N (7svorková)</t>
  </si>
  <si>
    <t>Svorkovnice PE15, izolovaná</t>
  </si>
  <si>
    <t>Pojistkový odpojovač 3-pólový, 32A gG 10 x 38 mm</t>
  </si>
  <si>
    <t>pojistková vložka PVA10 2A gG</t>
  </si>
  <si>
    <t>Zařízení č.1 - Odtah od digestoří</t>
  </si>
  <si>
    <t>1.1</t>
  </si>
  <si>
    <t>Diagonální plastový ventilátor 1050m3/h při 260Pa, včetně pružných manžet pr. 315 2ks, plastová zpětná klapa pr. 315mm</t>
  </si>
  <si>
    <t>kpl</t>
  </si>
  <si>
    <t>tlumič hluku flexibilní hluku pr. 315/1000mm</t>
  </si>
  <si>
    <t>ks</t>
  </si>
  <si>
    <t>1.2</t>
  </si>
  <si>
    <t>Diagonální plastový ventilátor 800m3/h při 240Pa, včetně pružných manžet pr. 250 2ks, plastová zpětná klapa pr. 250mm</t>
  </si>
  <si>
    <t>Tlumič hluku flexibilní pr. 250/1000mm</t>
  </si>
  <si>
    <t>1.3</t>
  </si>
  <si>
    <t>Diagonální plastový ventilátor 100m3/h při 160Pa, včetně pružných manžet pr. 160 2ks, plastová zpětná klapa pr. 315mm</t>
  </si>
  <si>
    <t>Chemicky odolný tlumič hluku pr. 160/1000mm</t>
  </si>
  <si>
    <t>1.4</t>
  </si>
  <si>
    <t>Chemicky odolná plast. Hadice pr. 315mm</t>
  </si>
  <si>
    <t>bm</t>
  </si>
  <si>
    <t>1.5</t>
  </si>
  <si>
    <t>Chemicky odolná plast. Hadice pr. 250mm</t>
  </si>
  <si>
    <t>1.6</t>
  </si>
  <si>
    <t>Chemicky odolná plast. Hadice pr. 100mm</t>
  </si>
  <si>
    <t>1.7</t>
  </si>
  <si>
    <t>Plastové kruhové potrubí (PP/PE) - do DN 315, vč. TV 30 %, vč. chemicky odolného spojovacího,, materiálu </t>
  </si>
  <si>
    <t>1.8</t>
  </si>
  <si>
    <t>Oplechování včetně teplné izolace - minerální  vlna tl.50mm</t>
  </si>
  <si>
    <t>1.9</t>
  </si>
  <si>
    <t>Neobsazeno</t>
  </si>
  <si>
    <t>1.10</t>
  </si>
  <si>
    <t>Stěnová mřížka oboustranná 300x300mm</t>
  </si>
  <si>
    <t>1.11</t>
  </si>
  <si>
    <t>Sací protidešťová žaluzie se sítem pozink. pr. 315mm (Ral dle investora)</t>
  </si>
  <si>
    <t>1.12</t>
  </si>
  <si>
    <t>1.13</t>
  </si>
  <si>
    <t>Axiální ventilátor 1000m3/h při 300Pa např. , pružné maženy pr. 315mm 2ks</t>
  </si>
  <si>
    <t>1.14</t>
  </si>
  <si>
    <t>Elekrický ohřívač pr. 315mm, topný výkon 9kW</t>
  </si>
  <si>
    <t>1.15</t>
  </si>
  <si>
    <t>Tlumič hluku pr. 315/900mm</t>
  </si>
  <si>
    <t>1.16</t>
  </si>
  <si>
    <t>Vyústka pozink. Do kruhového potrubí 725x75</t>
  </si>
  <si>
    <t>1.17</t>
  </si>
  <si>
    <t>Potrubí kruhové Spiro do pr. 315mm 15% tvar.</t>
  </si>
  <si>
    <t>1.18</t>
  </si>
  <si>
    <t>Montážní, spojovací a těsnící materiál </t>
  </si>
  <si>
    <t>kg</t>
  </si>
  <si>
    <t>1.19</t>
  </si>
  <si>
    <t>Montáž pol. 1.1-1.18</t>
  </si>
  <si>
    <t>hod</t>
  </si>
  <si>
    <t>Zařízení č.2-  Provětrání laboratoří čerstvým vzduchem</t>
  </si>
  <si>
    <t>2.1</t>
  </si>
  <si>
    <t>2.2</t>
  </si>
  <si>
    <t>2.3</t>
  </si>
  <si>
    <t>Potrubí čtyřhranné sk.I - pozinkovaný plech - rovné potrubní díly </t>
  </si>
  <si>
    <t>2.4</t>
  </si>
  <si>
    <t>regulační klapa uzavírací těsná 400x300mm se servem 230V včetně krycího síta/mřížky.</t>
  </si>
  <si>
    <t>2.5</t>
  </si>
  <si>
    <t>2.6</t>
  </si>
  <si>
    <t>Krycí mřížka kruhová do potrubí pr. 250mm</t>
  </si>
  <si>
    <t>2.7</t>
  </si>
  <si>
    <t>Axiální ventilátor 800m3/h při 300Pa, max 45dBA, pružné maženy 2ks, zpětná klapa pr. 250mm</t>
  </si>
  <si>
    <t>2.8</t>
  </si>
  <si>
    <t>Potrubí kruhové Spiro do pr. 250mm 15% tvar.</t>
  </si>
  <si>
    <t>2.9</t>
  </si>
  <si>
    <t>Přetlaková žaluzie se sítem pr. 250mm (RAL dle investora)</t>
  </si>
  <si>
    <t>2.10</t>
  </si>
  <si>
    <t>2.11</t>
  </si>
  <si>
    <t>Montáž položky 2.1-2.9</t>
  </si>
  <si>
    <t>Zařízení č.3 -  Úprava stávající VZT</t>
  </si>
  <si>
    <t>3.1</t>
  </si>
  <si>
    <t>Regulační klapa se servem pr. 250mm</t>
  </si>
  <si>
    <t>3.2</t>
  </si>
  <si>
    <t>3.3</t>
  </si>
  <si>
    <t>Montáž položky do stávajícího rozvodu 3.1-3.2</t>
  </si>
  <si>
    <t>4.1</t>
  </si>
  <si>
    <t>Zprovoznění, zaregulování systémů, zaškolení obsluhy</t>
  </si>
  <si>
    <t>4.2</t>
  </si>
  <si>
    <t>Dokumentace skutečného provedení stavby</t>
  </si>
  <si>
    <t>4.4</t>
  </si>
  <si>
    <t>Lešení</t>
  </si>
  <si>
    <t>4.5</t>
  </si>
  <si>
    <t>Doprava</t>
  </si>
  <si>
    <t>Izolace návleková tl. stěny 9 mm</t>
  </si>
  <si>
    <t>Izolace návleková tl. stěny 13 mm</t>
  </si>
  <si>
    <t xml:space="preserve">Příplatek za každé 2 mm, vyrovnání podlah samonivelační hmotou </t>
  </si>
  <si>
    <t>Elektro a MaR</t>
  </si>
  <si>
    <t>VŠB-Technická univerzita Ostrava 17. listopadu 15/2172 Ostrava-Poruba</t>
  </si>
  <si>
    <t>Pozice</t>
  </si>
  <si>
    <t>Specifikace</t>
  </si>
  <si>
    <t>Elektro materiál</t>
  </si>
  <si>
    <t>Kabeláž</t>
  </si>
  <si>
    <t>Kabelové trasy + spojovací a příchytný materiál</t>
  </si>
  <si>
    <t>Vydrátování rozvaděče</t>
  </si>
  <si>
    <t>Prosupy/zatmelení</t>
  </si>
  <si>
    <t>Natažení kabeláže + zapojení</t>
  </si>
  <si>
    <t>Usazení rozvaděče</t>
  </si>
  <si>
    <t>VŠB-TUO rekonstrukce laboratoře v budově CPIT</t>
  </si>
  <si>
    <t>CYKY-O 3x1.5mm2</t>
  </si>
  <si>
    <t>CYKY-J 3x1.5mm2</t>
  </si>
  <si>
    <t>CYKY-J 3x2.5mm2</t>
  </si>
  <si>
    <t>Rekonstrukce laboratoří CEETe</t>
  </si>
  <si>
    <t>Materiál</t>
  </si>
  <si>
    <t>Přechodový oblouk se sítem 400x300/400x200/90° (Ral dle investora) - atyp. Výrobek, dle skutečnosti a doměru</t>
  </si>
  <si>
    <t>Zárubeň ocelová rozměr 1250 x 1970 mm D</t>
  </si>
  <si>
    <t>Penetrace podkladu 1x</t>
  </si>
  <si>
    <t>Malba, bílá, bez penetrace, 2 x</t>
  </si>
  <si>
    <t>Malba pro SDK, bílá, bez pen., 1 x</t>
  </si>
  <si>
    <t>Vyhlazení disperzním tmelem, 1x (1 mm)</t>
  </si>
  <si>
    <t>Potrubí plastové PP-R, včetně zednických výpomocí, D 20 x 2,8 mm, PN 16</t>
  </si>
  <si>
    <t>Potrubí plastové PP-R , včetně zednických výpomocí, D 20 x 3,4 mm, PN 20</t>
  </si>
  <si>
    <t>Kohout kulový rozebíratelný, D 20 mm</t>
  </si>
  <si>
    <t>Nástěnka MZD, D 20 mm x R 1/2"</t>
  </si>
  <si>
    <t>Vidlicová lišta 4 pólová, 1m, pro BC, BM a BO
kompatibilní s BC, BM, BO, nevylamovatelná, lze zkrátit z obou stran, TE=17.8, fázování:
L1/N/L2/N/L3/N</t>
  </si>
  <si>
    <t>Vidlicová lišta 3 pólová, 1m, pro BC, BM, BO a Amparo
kompatibilní s BC, BM, BO a Amparu, vylamovatelná, lze zkrátit z obou stran</t>
  </si>
  <si>
    <t>Radová svorka CBC.2 modrá</t>
  </si>
  <si>
    <t>Radová svorka CBC.2 šedá</t>
  </si>
  <si>
    <t xml:space="preserve">Penetrace savého podkladu disperzí </t>
  </si>
  <si>
    <t xml:space="preserve">Vyrovnání podlahy, samonivelační hmota </t>
  </si>
  <si>
    <t>Sada zařízení pro bezkontaktní měření spotřeby elektřiny dle směrnice VŠB</t>
  </si>
  <si>
    <t>Montáž sady pro pro bezkontaktní měření spotřeby elektřiny dle směrnice VŠB</t>
  </si>
  <si>
    <t>Filtr pr. 315 včetně filtrační vložky M5</t>
  </si>
  <si>
    <t>Požární stěnový uzávěr  s tavnou pojistku , požární odolnost 30min, vnější rozměr 400x300mm</t>
  </si>
  <si>
    <t>Elektro revize a zakreslení skutečného stavu</t>
  </si>
  <si>
    <t>Zakreslení skutečného stavu</t>
  </si>
  <si>
    <t>Vybavení laboratoře - samostatný rozpočet</t>
  </si>
  <si>
    <t>Montáž digestoře 1 200 mm</t>
  </si>
  <si>
    <t>Doprava digestoře 1 200 mm</t>
  </si>
  <si>
    <t xml:space="preserve">Kyselinovzdorná pracovní plocha s odpadní vaničkou </t>
  </si>
  <si>
    <t>B.2.</t>
  </si>
  <si>
    <t>B.1.</t>
  </si>
  <si>
    <t>Montáž digestoře 1 800 mm</t>
  </si>
  <si>
    <t>Digestoř laboratorní šířka 1200 mm</t>
  </si>
  <si>
    <t xml:space="preserve">Ventil studená voda </t>
  </si>
  <si>
    <t>Panel elektro zásuvek 230V</t>
  </si>
  <si>
    <t xml:space="preserve">Skříňka bez odtahu </t>
  </si>
  <si>
    <t xml:space="preserve">Plynový ventil </t>
  </si>
  <si>
    <t>Laboratorní digestoř 1 200 mm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</si>
  <si>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</si>
  <si>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</si>
  <si>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</si>
  <si>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</si>
  <si>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</si>
  <si>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</si>
  <si>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</si>
  <si>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</si>
  <si>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Laboratorní digestoř 1 800 mm</t>
  </si>
  <si>
    <t xml:space="preserve">B.1.1 </t>
  </si>
  <si>
    <t>Vybavení laboratoře</t>
  </si>
  <si>
    <t>*Dodavatel připouští rovnocenné řešení</t>
  </si>
  <si>
    <t>Jistic s prou. chránicem 6 kA, 1+N, B10A, 30 mA, A
Nulový vodic vlevo, Typ A, Typ Nezpoždený, Norma CSN EN 61009*</t>
  </si>
  <si>
    <t>Instalacní jistic 6kA, B 10A, 1P
Norma CSN EN 60898*</t>
  </si>
  <si>
    <t>Proudový chránic  10 kA, 25 A, 4P, 30 mA, A
Typ A, Typ Nezpoždený, Norma CSN EN 61008*</t>
  </si>
  <si>
    <t>Instalacní jistic  6kA, B 16A, 3P
Norma CSN EN 60898*</t>
  </si>
  <si>
    <t>Instalacní jistic 6kA, B 6A, 1P
Norma CSN EN 60898*</t>
  </si>
  <si>
    <t>Instalacní jistic 6kA, B 2A, 1P
Norma CSN EN 60898*</t>
  </si>
  <si>
    <t>Jistic s prou. chránicem 6 kA, 1+N, B16A, 30 mA, A
Nulový vodic vlevo, Typ A, Typ konstrukce Bez zpoždení, Norma CSN EN 61009-1*,IEC
61009-1*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</si>
</sst>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sz val="10"/>
      <name val="Arial CE"/>
      <family val="2"/>
      <charset val="238"/>
    </font>
    <font>
      <sz val="11"/>
      <name val="Calibri"/>
      <charset val="1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Calibri"/>
      <charset val="1"/>
    </font>
    <font>
      <sz val="8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58"/>
    <xf numFmtId="0" fontId="11" fillId="0" borderId="58"/>
    <xf numFmtId="0" fontId="12" fillId="0" borderId="58"/>
  </cellStyleXfs>
  <cellXfs count="304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4" fontId="4" fillId="0" borderId="22" xfId="0" applyNumberFormat="1" applyFont="1" applyBorder="1" applyAlignment="1">
      <alignment horizontal="righ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4" fontId="9" fillId="0" borderId="29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left" vertical="center"/>
    </xf>
    <xf numFmtId="0" fontId="9" fillId="0" borderId="29" xfId="0" applyFont="1" applyBorder="1" applyAlignment="1">
      <alignment horizontal="right" vertical="center"/>
    </xf>
    <xf numFmtId="4" fontId="9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39" xfId="0" applyNumberFormat="1" applyFont="1" applyBorder="1" applyAlignment="1">
      <alignment horizontal="right" vertical="center"/>
    </xf>
    <xf numFmtId="4" fontId="8" fillId="2" borderId="26" xfId="0" applyNumberFormat="1" applyFont="1" applyFill="1" applyBorder="1" applyAlignment="1">
      <alignment horizontal="right" vertical="center"/>
    </xf>
    <xf numFmtId="4" fontId="8" fillId="2" borderId="3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4" fillId="0" borderId="56" xfId="0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4" fontId="3" fillId="0" borderId="60" xfId="0" applyNumberFormat="1" applyFont="1" applyBorder="1" applyAlignment="1">
      <alignment horizontal="right" vertical="center"/>
    </xf>
    <xf numFmtId="0" fontId="3" fillId="0" borderId="60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64" xfId="0" applyFont="1" applyBorder="1" applyAlignment="1">
      <alignment horizontal="right" vertical="center"/>
    </xf>
    <xf numFmtId="4" fontId="4" fillId="0" borderId="64" xfId="0" applyNumberFormat="1" applyFont="1" applyBorder="1" applyAlignment="1">
      <alignment horizontal="righ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58" xfId="3"/>
    <xf numFmtId="0" fontId="16" fillId="0" borderId="88" xfId="3" applyFont="1" applyBorder="1" applyAlignment="1">
      <alignment horizontal="left" vertical="center"/>
    </xf>
    <xf numFmtId="0" fontId="16" fillId="0" borderId="89" xfId="3" applyFont="1" applyBorder="1" applyAlignment="1">
      <alignment horizontal="left" vertical="center"/>
    </xf>
    <xf numFmtId="0" fontId="16" fillId="0" borderId="90" xfId="3" applyFont="1" applyBorder="1" applyAlignment="1">
      <alignment horizontal="left" vertical="center"/>
    </xf>
    <xf numFmtId="0" fontId="16" fillId="0" borderId="89" xfId="3" applyFont="1" applyBorder="1" applyAlignment="1">
      <alignment horizontal="center" vertical="center"/>
    </xf>
    <xf numFmtId="0" fontId="14" fillId="0" borderId="95" xfId="3" applyFont="1" applyBorder="1" applyAlignment="1">
      <alignment horizontal="left" vertical="center"/>
    </xf>
    <xf numFmtId="0" fontId="14" fillId="0" borderId="96" xfId="3" applyFont="1" applyBorder="1" applyAlignment="1">
      <alignment horizontal="left" vertical="center"/>
    </xf>
    <xf numFmtId="0" fontId="16" fillId="0" borderId="97" xfId="3" applyFont="1" applyBorder="1" applyAlignment="1">
      <alignment horizontal="left" vertical="center"/>
    </xf>
    <xf numFmtId="0" fontId="14" fillId="0" borderId="96" xfId="3" applyFont="1" applyBorder="1" applyAlignment="1">
      <alignment horizontal="center" vertical="center"/>
    </xf>
    <xf numFmtId="0" fontId="16" fillId="0" borderId="98" xfId="3" applyFont="1" applyBorder="1" applyAlignment="1">
      <alignment horizontal="center" vertical="center"/>
    </xf>
    <xf numFmtId="0" fontId="16" fillId="0" borderId="95" xfId="3" applyFont="1" applyBorder="1" applyAlignment="1">
      <alignment horizontal="center" vertical="center"/>
    </xf>
    <xf numFmtId="0" fontId="16" fillId="0" borderId="96" xfId="3" applyFont="1" applyBorder="1" applyAlignment="1">
      <alignment horizontal="center" vertical="center"/>
    </xf>
    <xf numFmtId="0" fontId="14" fillId="3" borderId="100" xfId="3" applyFont="1" applyFill="1" applyBorder="1" applyAlignment="1">
      <alignment horizontal="left" vertical="center"/>
    </xf>
    <xf numFmtId="0" fontId="14" fillId="3" borderId="86" xfId="3" applyFont="1" applyFill="1" applyBorder="1" applyAlignment="1">
      <alignment horizontal="left" vertical="center"/>
    </xf>
    <xf numFmtId="0" fontId="16" fillId="3" borderId="101" xfId="3" applyFont="1" applyFill="1" applyBorder="1" applyAlignment="1">
      <alignment horizontal="left" vertical="center"/>
    </xf>
    <xf numFmtId="0" fontId="14" fillId="3" borderId="86" xfId="3" applyFont="1" applyFill="1" applyBorder="1" applyAlignment="1">
      <alignment horizontal="center" vertical="center"/>
    </xf>
    <xf numFmtId="0" fontId="16" fillId="3" borderId="101" xfId="3" applyFont="1" applyFill="1" applyBorder="1" applyAlignment="1">
      <alignment horizontal="center" vertical="center"/>
    </xf>
    <xf numFmtId="3" fontId="16" fillId="3" borderId="86" xfId="3" applyNumberFormat="1" applyFont="1" applyFill="1" applyBorder="1" applyAlignment="1">
      <alignment horizontal="center" vertical="center"/>
    </xf>
    <xf numFmtId="0" fontId="17" fillId="0" borderId="100" xfId="3" applyFont="1" applyBorder="1"/>
    <xf numFmtId="0" fontId="17" fillId="0" borderId="86" xfId="3" applyFont="1" applyBorder="1"/>
    <xf numFmtId="0" fontId="17" fillId="0" borderId="86" xfId="3" applyFont="1" applyBorder="1" applyAlignment="1">
      <alignment horizontal="right"/>
    </xf>
    <xf numFmtId="0" fontId="17" fillId="0" borderId="83" xfId="3" applyFont="1" applyBorder="1" applyAlignment="1">
      <alignment horizontal="left" wrapText="1"/>
    </xf>
    <xf numFmtId="0" fontId="17" fillId="0" borderId="86" xfId="3" applyFont="1" applyBorder="1" applyAlignment="1">
      <alignment horizontal="center"/>
    </xf>
    <xf numFmtId="3" fontId="17" fillId="0" borderId="86" xfId="3" applyNumberFormat="1" applyFont="1" applyBorder="1" applyAlignment="1">
      <alignment horizontal="right"/>
    </xf>
    <xf numFmtId="3" fontId="17" fillId="0" borderId="102" xfId="3" applyNumberFormat="1" applyFont="1" applyBorder="1"/>
    <xf numFmtId="3" fontId="17" fillId="0" borderId="100" xfId="3" applyNumberFormat="1" applyFont="1" applyBorder="1"/>
    <xf numFmtId="3" fontId="17" fillId="0" borderId="86" xfId="3" applyNumberFormat="1" applyFont="1" applyBorder="1"/>
    <xf numFmtId="3" fontId="17" fillId="0" borderId="101" xfId="3" applyNumberFormat="1" applyFont="1" applyBorder="1"/>
    <xf numFmtId="0" fontId="17" fillId="0" borderId="103" xfId="3" applyFont="1" applyBorder="1"/>
    <xf numFmtId="0" fontId="17" fillId="0" borderId="83" xfId="3" applyFont="1" applyBorder="1"/>
    <xf numFmtId="0" fontId="17" fillId="0" borderId="83" xfId="3" applyFont="1" applyBorder="1" applyAlignment="1">
      <alignment horizontal="right"/>
    </xf>
    <xf numFmtId="3" fontId="17" fillId="0" borderId="83" xfId="3" applyNumberFormat="1" applyFont="1" applyBorder="1" applyAlignment="1">
      <alignment horizontal="right"/>
    </xf>
    <xf numFmtId="3" fontId="17" fillId="0" borderId="83" xfId="3" applyNumberFormat="1" applyFont="1" applyBorder="1"/>
    <xf numFmtId="3" fontId="12" fillId="0" borderId="58" xfId="3" applyNumberFormat="1"/>
    <xf numFmtId="0" fontId="18" fillId="3" borderId="103" xfId="3" applyFont="1" applyFill="1" applyBorder="1"/>
    <xf numFmtId="0" fontId="18" fillId="3" borderId="83" xfId="3" applyFont="1" applyFill="1" applyBorder="1"/>
    <xf numFmtId="0" fontId="18" fillId="3" borderId="83" xfId="3" applyFont="1" applyFill="1" applyBorder="1" applyAlignment="1">
      <alignment horizontal="right"/>
    </xf>
    <xf numFmtId="0" fontId="18" fillId="3" borderId="83" xfId="3" applyFont="1" applyFill="1" applyBorder="1" applyAlignment="1">
      <alignment horizontal="left"/>
    </xf>
    <xf numFmtId="0" fontId="18" fillId="3" borderId="86" xfId="3" applyFont="1" applyFill="1" applyBorder="1" applyAlignment="1">
      <alignment horizontal="center"/>
    </xf>
    <xf numFmtId="3" fontId="18" fillId="3" borderId="83" xfId="3" applyNumberFormat="1" applyFont="1" applyFill="1" applyBorder="1"/>
    <xf numFmtId="3" fontId="18" fillId="3" borderId="100" xfId="3" applyNumberFormat="1" applyFont="1" applyFill="1" applyBorder="1"/>
    <xf numFmtId="3" fontId="18" fillId="3" borderId="102" xfId="3" applyNumberFormat="1" applyFont="1" applyFill="1" applyBorder="1"/>
    <xf numFmtId="3" fontId="17" fillId="0" borderId="103" xfId="3" applyNumberFormat="1" applyFont="1" applyBorder="1"/>
    <xf numFmtId="0" fontId="12" fillId="0" borderId="83" xfId="3" applyBorder="1" applyAlignment="1">
      <alignment horizontal="left"/>
    </xf>
    <xf numFmtId="0" fontId="18" fillId="0" borderId="58" xfId="3" applyFont="1"/>
    <xf numFmtId="3" fontId="18" fillId="0" borderId="58" xfId="3" applyNumberFormat="1" applyFont="1"/>
    <xf numFmtId="0" fontId="19" fillId="0" borderId="83" xfId="3" applyFont="1" applyBorder="1" applyAlignment="1">
      <alignment horizontal="left"/>
    </xf>
    <xf numFmtId="0" fontId="16" fillId="0" borderId="90" xfId="3" applyFont="1" applyBorder="1" applyAlignment="1">
      <alignment horizontal="center" vertical="center"/>
    </xf>
    <xf numFmtId="0" fontId="16" fillId="0" borderId="97" xfId="3" applyFont="1" applyBorder="1" applyAlignment="1">
      <alignment horizontal="center" vertical="center"/>
    </xf>
    <xf numFmtId="3" fontId="17" fillId="0" borderId="84" xfId="3" applyNumberFormat="1" applyFont="1" applyBorder="1"/>
    <xf numFmtId="3" fontId="18" fillId="3" borderId="84" xfId="3" applyNumberFormat="1" applyFont="1" applyFill="1" applyBorder="1"/>
    <xf numFmtId="3" fontId="16" fillId="3" borderId="100" xfId="3" applyNumberFormat="1" applyFont="1" applyFill="1" applyBorder="1" applyAlignment="1">
      <alignment horizontal="center" vertical="center"/>
    </xf>
    <xf numFmtId="3" fontId="16" fillId="3" borderId="102" xfId="3" applyNumberFormat="1" applyFont="1" applyFill="1" applyBorder="1" applyAlignment="1">
      <alignment horizontal="center" vertical="center"/>
    </xf>
    <xf numFmtId="3" fontId="17" fillId="0" borderId="104" xfId="3" applyNumberFormat="1" applyFont="1" applyBorder="1"/>
    <xf numFmtId="3" fontId="17" fillId="0" borderId="105" xfId="3" applyNumberFormat="1" applyFont="1" applyBorder="1"/>
    <xf numFmtId="3" fontId="17" fillId="0" borderId="106" xfId="3" applyNumberFormat="1" applyFont="1" applyBorder="1"/>
    <xf numFmtId="0" fontId="16" fillId="3" borderId="107" xfId="3" applyFont="1" applyFill="1" applyBorder="1" applyAlignment="1">
      <alignment horizontal="center" vertical="center"/>
    </xf>
    <xf numFmtId="0" fontId="17" fillId="0" borderId="108" xfId="3" applyFont="1" applyBorder="1" applyAlignment="1">
      <alignment wrapText="1"/>
    </xf>
    <xf numFmtId="0" fontId="18" fillId="3" borderId="108" xfId="3" applyFont="1" applyFill="1" applyBorder="1"/>
    <xf numFmtId="0" fontId="17" fillId="0" borderId="108" xfId="3" applyFont="1" applyBorder="1"/>
    <xf numFmtId="0" fontId="17" fillId="0" borderId="109" xfId="3" applyFont="1" applyBorder="1"/>
    <xf numFmtId="0" fontId="17" fillId="0" borderId="83" xfId="3" applyFont="1" applyBorder="1" applyAlignment="1">
      <alignment horizontal="left"/>
    </xf>
    <xf numFmtId="0" fontId="14" fillId="0" borderId="60" xfId="3" applyFont="1" applyBorder="1" applyAlignment="1">
      <alignment horizontal="left" vertical="center"/>
    </xf>
    <xf numFmtId="0" fontId="16" fillId="0" borderId="110" xfId="3" applyFont="1" applyBorder="1" applyAlignment="1">
      <alignment horizontal="center" vertical="center"/>
    </xf>
    <xf numFmtId="0" fontId="14" fillId="0" borderId="111" xfId="3" applyFont="1" applyBorder="1" applyAlignment="1">
      <alignment horizontal="left" vertical="center"/>
    </xf>
    <xf numFmtId="0" fontId="16" fillId="0" borderId="58" xfId="3" applyFont="1" applyAlignment="1">
      <alignment horizontal="left" vertical="center"/>
    </xf>
    <xf numFmtId="0" fontId="14" fillId="0" borderId="60" xfId="3" applyFont="1" applyBorder="1" applyAlignment="1">
      <alignment horizontal="center" vertical="center"/>
    </xf>
    <xf numFmtId="0" fontId="16" fillId="0" borderId="112" xfId="3" applyFont="1" applyBorder="1" applyAlignment="1">
      <alignment horizontal="center" vertical="center"/>
    </xf>
    <xf numFmtId="0" fontId="16" fillId="0" borderId="111" xfId="3" applyFont="1" applyBorder="1" applyAlignment="1">
      <alignment horizontal="center" vertical="center"/>
    </xf>
    <xf numFmtId="0" fontId="16" fillId="0" borderId="60" xfId="3" applyFont="1" applyBorder="1" applyAlignment="1">
      <alignment horizontal="center" vertical="center"/>
    </xf>
    <xf numFmtId="0" fontId="14" fillId="3" borderId="113" xfId="3" applyFont="1" applyFill="1" applyBorder="1" applyAlignment="1">
      <alignment horizontal="left" vertical="center"/>
    </xf>
    <xf numFmtId="0" fontId="14" fillId="3" borderId="114" xfId="3" applyFont="1" applyFill="1" applyBorder="1" applyAlignment="1">
      <alignment horizontal="left" vertical="center"/>
    </xf>
    <xf numFmtId="0" fontId="16" fillId="3" borderId="115" xfId="3" applyFont="1" applyFill="1" applyBorder="1" applyAlignment="1">
      <alignment horizontal="left" vertical="center"/>
    </xf>
    <xf numFmtId="0" fontId="14" fillId="3" borderId="114" xfId="3" applyFont="1" applyFill="1" applyBorder="1" applyAlignment="1">
      <alignment horizontal="center" vertical="center"/>
    </xf>
    <xf numFmtId="0" fontId="16" fillId="3" borderId="116" xfId="3" applyFont="1" applyFill="1" applyBorder="1" applyAlignment="1">
      <alignment horizontal="center" vertical="center"/>
    </xf>
    <xf numFmtId="3" fontId="16" fillId="3" borderId="113" xfId="3" applyNumberFormat="1" applyFont="1" applyFill="1" applyBorder="1" applyAlignment="1">
      <alignment horizontal="center" vertical="center"/>
    </xf>
    <xf numFmtId="3" fontId="16" fillId="3" borderId="114" xfId="3" applyNumberFormat="1" applyFont="1" applyFill="1" applyBorder="1" applyAlignment="1">
      <alignment horizontal="center" vertical="center"/>
    </xf>
    <xf numFmtId="3" fontId="16" fillId="3" borderId="116" xfId="3" applyNumberFormat="1" applyFont="1" applyFill="1" applyBorder="1" applyAlignment="1">
      <alignment horizontal="right" vertical="center"/>
    </xf>
    <xf numFmtId="0" fontId="16" fillId="3" borderId="90" xfId="3" applyFont="1" applyFill="1" applyBorder="1" applyAlignment="1">
      <alignment horizontal="center" vertical="center"/>
    </xf>
    <xf numFmtId="0" fontId="16" fillId="3" borderId="110" xfId="3" applyFont="1" applyFill="1" applyBorder="1" applyAlignment="1">
      <alignment horizontal="center" vertical="center"/>
    </xf>
    <xf numFmtId="0" fontId="20" fillId="0" borderId="83" xfId="3" applyFont="1" applyBorder="1" applyAlignment="1">
      <alignment vertical="top" wrapText="1"/>
    </xf>
    <xf numFmtId="0" fontId="17" fillId="0" borderId="87" xfId="3" applyFont="1" applyBorder="1"/>
    <xf numFmtId="0" fontId="17" fillId="0" borderId="83" xfId="3" applyFont="1" applyBorder="1" applyAlignment="1">
      <alignment horizontal="center"/>
    </xf>
    <xf numFmtId="3" fontId="17" fillId="0" borderId="117" xfId="3" applyNumberFormat="1" applyFont="1" applyBorder="1"/>
    <xf numFmtId="0" fontId="17" fillId="0" borderId="85" xfId="3" applyFont="1" applyBorder="1"/>
    <xf numFmtId="0" fontId="20" fillId="0" borderId="83" xfId="3" applyFont="1" applyBorder="1" applyAlignment="1">
      <alignment wrapText="1"/>
    </xf>
    <xf numFmtId="0" fontId="20" fillId="0" borderId="83" xfId="3" applyFont="1" applyBorder="1"/>
    <xf numFmtId="0" fontId="17" fillId="3" borderId="103" xfId="3" applyFont="1" applyFill="1" applyBorder="1"/>
    <xf numFmtId="0" fontId="17" fillId="3" borderId="83" xfId="3" applyFont="1" applyFill="1" applyBorder="1"/>
    <xf numFmtId="0" fontId="17" fillId="3" borderId="83" xfId="3" applyFont="1" applyFill="1" applyBorder="1" applyAlignment="1">
      <alignment horizontal="center"/>
    </xf>
    <xf numFmtId="3" fontId="17" fillId="3" borderId="83" xfId="3" applyNumberFormat="1" applyFont="1" applyFill="1" applyBorder="1"/>
    <xf numFmtId="3" fontId="17" fillId="3" borderId="117" xfId="3" applyNumberFormat="1" applyFont="1" applyFill="1" applyBorder="1"/>
    <xf numFmtId="3" fontId="17" fillId="3" borderId="103" xfId="3" applyNumberFormat="1" applyFont="1" applyFill="1" applyBorder="1"/>
    <xf numFmtId="3" fontId="18" fillId="3" borderId="117" xfId="3" applyNumberFormat="1" applyFont="1" applyFill="1" applyBorder="1" applyAlignment="1">
      <alignment horizontal="right"/>
    </xf>
    <xf numFmtId="0" fontId="17" fillId="3" borderId="85" xfId="3" applyFont="1" applyFill="1" applyBorder="1"/>
    <xf numFmtId="0" fontId="17" fillId="0" borderId="85" xfId="3" applyFont="1" applyBorder="1" applyAlignment="1">
      <alignment horizontal="left"/>
    </xf>
    <xf numFmtId="0" fontId="18" fillId="3" borderId="84" xfId="3" applyFont="1" applyFill="1" applyBorder="1" applyAlignment="1">
      <alignment horizontal="left" wrapText="1"/>
    </xf>
    <xf numFmtId="3" fontId="17" fillId="0" borderId="119" xfId="3" applyNumberFormat="1" applyFont="1" applyBorder="1"/>
    <xf numFmtId="0" fontId="3" fillId="0" borderId="57" xfId="0" applyFont="1" applyBorder="1" applyAlignment="1">
      <alignment horizontal="left" vertical="center"/>
    </xf>
    <xf numFmtId="0" fontId="3" fillId="0" borderId="60" xfId="0" applyFont="1" applyBorder="1" applyAlignment="1">
      <alignment horizontal="right" vertical="center"/>
    </xf>
    <xf numFmtId="0" fontId="16" fillId="3" borderId="114" xfId="3" applyFont="1" applyFill="1" applyBorder="1" applyAlignment="1">
      <alignment horizontal="left" vertical="center"/>
    </xf>
    <xf numFmtId="0" fontId="16" fillId="0" borderId="58" xfId="3" applyFont="1" applyAlignment="1">
      <alignment horizontal="center" vertical="center"/>
    </xf>
    <xf numFmtId="0" fontId="16" fillId="3" borderId="115" xfId="3" applyFont="1" applyFill="1" applyBorder="1" applyAlignment="1">
      <alignment horizontal="center" vertical="center"/>
    </xf>
    <xf numFmtId="3" fontId="17" fillId="3" borderId="84" xfId="3" applyNumberFormat="1" applyFont="1" applyFill="1" applyBorder="1"/>
    <xf numFmtId="0" fontId="16" fillId="3" borderId="58" xfId="3" applyFont="1" applyFill="1" applyAlignment="1">
      <alignment horizontal="center" vertical="center"/>
    </xf>
    <xf numFmtId="0" fontId="16" fillId="3" borderId="112" xfId="3" applyFont="1" applyFill="1" applyBorder="1" applyAlignment="1">
      <alignment horizontal="center" vertical="center"/>
    </xf>
    <xf numFmtId="0" fontId="16" fillId="0" borderId="83" xfId="3" applyFont="1" applyBorder="1" applyAlignment="1">
      <alignment horizontal="center" vertical="center"/>
    </xf>
    <xf numFmtId="3" fontId="23" fillId="0" borderId="58" xfId="3" applyNumberFormat="1" applyFont="1"/>
    <xf numFmtId="3" fontId="18" fillId="3" borderId="103" xfId="3" applyNumberFormat="1" applyFont="1" applyFill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13" fillId="0" borderId="58" xfId="3" applyFont="1" applyAlignment="1">
      <alignment horizontal="center" vertical="center"/>
    </xf>
    <xf numFmtId="0" fontId="14" fillId="0" borderId="2" xfId="3" applyFont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4" fillId="0" borderId="58" xfId="3" applyFont="1" applyAlignment="1">
      <alignment horizontal="left" vertical="center"/>
    </xf>
    <xf numFmtId="0" fontId="15" fillId="0" borderId="3" xfId="3" applyFont="1" applyBorder="1" applyAlignment="1">
      <alignment horizontal="left" vertical="center" wrapText="1"/>
    </xf>
    <xf numFmtId="0" fontId="15" fillId="0" borderId="58" xfId="3" applyFont="1" applyAlignment="1">
      <alignment horizontal="left" vertical="center"/>
    </xf>
    <xf numFmtId="0" fontId="14" fillId="0" borderId="3" xfId="3" applyFont="1" applyBorder="1" applyAlignment="1">
      <alignment horizontal="left" vertical="center" wrapText="1"/>
    </xf>
    <xf numFmtId="0" fontId="14" fillId="0" borderId="4" xfId="3" applyFont="1" applyBorder="1" applyAlignment="1">
      <alignment horizontal="left" vertical="center"/>
    </xf>
    <xf numFmtId="0" fontId="14" fillId="0" borderId="60" xfId="3" applyFont="1" applyBorder="1" applyAlignment="1">
      <alignment horizontal="left" vertical="center"/>
    </xf>
    <xf numFmtId="0" fontId="14" fillId="0" borderId="57" xfId="3" applyFont="1" applyBorder="1" applyAlignment="1">
      <alignment horizontal="left" vertical="center" wrapText="1"/>
    </xf>
    <xf numFmtId="0" fontId="14" fillId="0" borderId="58" xfId="3" applyFont="1" applyAlignment="1">
      <alignment horizontal="left" vertical="center" wrapText="1"/>
    </xf>
    <xf numFmtId="0" fontId="17" fillId="0" borderId="83" xfId="3" applyFont="1" applyBorder="1" applyAlignment="1">
      <alignment horizontal="left"/>
    </xf>
    <xf numFmtId="0" fontId="17" fillId="0" borderId="117" xfId="3" applyFont="1" applyBorder="1" applyAlignment="1">
      <alignment horizontal="left"/>
    </xf>
    <xf numFmtId="0" fontId="16" fillId="0" borderId="91" xfId="3" applyFont="1" applyBorder="1" applyAlignment="1">
      <alignment horizontal="center" vertical="center"/>
    </xf>
    <xf numFmtId="0" fontId="16" fillId="0" borderId="92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0" fontId="16" fillId="0" borderId="90" xfId="3" applyFont="1" applyBorder="1" applyAlignment="1">
      <alignment horizontal="center" vertical="center"/>
    </xf>
    <xf numFmtId="0" fontId="16" fillId="0" borderId="110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6" fillId="0" borderId="112" xfId="3" applyFont="1" applyBorder="1" applyAlignment="1">
      <alignment horizontal="center" vertical="center"/>
    </xf>
    <xf numFmtId="0" fontId="17" fillId="0" borderId="86" xfId="3" applyFont="1" applyBorder="1" applyAlignment="1">
      <alignment horizontal="left"/>
    </xf>
    <xf numFmtId="0" fontId="17" fillId="0" borderId="102" xfId="3" applyFont="1" applyBorder="1" applyAlignment="1">
      <alignment horizontal="left"/>
    </xf>
    <xf numFmtId="0" fontId="17" fillId="3" borderId="84" xfId="3" applyFont="1" applyFill="1" applyBorder="1" applyAlignment="1">
      <alignment horizontal="center"/>
    </xf>
    <xf numFmtId="0" fontId="17" fillId="3" borderId="118" xfId="3" applyFont="1" applyFill="1" applyBorder="1" applyAlignment="1">
      <alignment horizontal="center"/>
    </xf>
    <xf numFmtId="0" fontId="17" fillId="0" borderId="84" xfId="3" applyFont="1" applyBorder="1" applyAlignment="1">
      <alignment horizontal="left"/>
    </xf>
    <xf numFmtId="0" fontId="17" fillId="0" borderId="118" xfId="3" applyFont="1" applyBorder="1" applyAlignment="1">
      <alignment horizontal="left"/>
    </xf>
    <xf numFmtId="0" fontId="16" fillId="0" borderId="83" xfId="3" applyFont="1" applyBorder="1" applyAlignment="1">
      <alignment horizontal="center" vertical="center"/>
    </xf>
    <xf numFmtId="0" fontId="16" fillId="0" borderId="94" xfId="3" applyFont="1" applyBorder="1" applyAlignment="1">
      <alignment horizontal="center" vertical="center"/>
    </xf>
    <xf numFmtId="0" fontId="16" fillId="0" borderId="99" xfId="3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4" fontId="8" fillId="0" borderId="65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</cellXfs>
  <cellStyles count="4">
    <cellStyle name="Normální" xfId="0" builtinId="0"/>
    <cellStyle name="Normální 2" xfId="2" xr:uid="{256300AE-D5A3-4A35-A58D-8C418B8E57AC}"/>
    <cellStyle name="Normální 3" xfId="1" xr:uid="{D1E84E03-8CC2-4ECA-9FDB-27A98FFD2E95}"/>
    <cellStyle name="Normální 4" xfId="3" xr:uid="{AE23F107-FCD7-490B-9EFA-978826E39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OJEKTY\VSB-2024-laboratore\OPRAVY\ROZPO&#268;TY\LABORATO&#344;%20CEETe%20%20V&#352;B-Technick&#225;%20univerzita%20Ostrava%20POLR.xlsx" TargetMode="External"/><Relationship Id="rId1" Type="http://schemas.openxmlformats.org/officeDocument/2006/relationships/externalLinkPath" Target="file:///H:\PROJEKTY\VSB-2024-laboratore\OPRAVY\ROZPO&#268;TY\LABORATO&#344;%20CEETe%20%20V&#352;B-Technick&#225;%20univerzita%20Ostrava%20POL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rozpočtu"/>
      <sheetName val="Stavební rozpočet"/>
      <sheetName val="Stavební rozpočet - součet"/>
      <sheetName val="Rozpočet - vybrané sloupce"/>
      <sheetName val=" 723  Technické plyny POLR"/>
      <sheetName val=" 728  VZT POLR"/>
      <sheetName val=" 766 Vybavení POLR"/>
      <sheetName val="M21 ELektro MAR POLR"/>
      <sheetName val="M22 Elektro EPS POLR"/>
      <sheetName val="VOR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5">
          <cell r="I45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topLeftCell="A7" workbookViewId="0">
      <selection activeCell="G19" sqref="G19:I19"/>
    </sheetView>
  </sheetViews>
  <sheetFormatPr defaultColWidth="12.15234375" defaultRowHeight="15" customHeight="1" x14ac:dyDescent="0.4"/>
  <cols>
    <col min="1" max="1" width="9.15234375" customWidth="1"/>
    <col min="2" max="2" width="12.84375" customWidth="1"/>
    <col min="3" max="3" width="27.15234375" customWidth="1"/>
    <col min="4" max="4" width="10" customWidth="1"/>
    <col min="5" max="5" width="14" customWidth="1"/>
    <col min="6" max="6" width="27.15234375" customWidth="1"/>
    <col min="7" max="7" width="9.15234375" customWidth="1"/>
    <col min="8" max="8" width="12.84375" customWidth="1"/>
    <col min="9" max="9" width="27.15234375" customWidth="1"/>
  </cols>
  <sheetData>
    <row r="1" spans="1:9" ht="54.75" customHeight="1" x14ac:dyDescent="0.4">
      <c r="A1" s="225" t="s">
        <v>238</v>
      </c>
      <c r="B1" s="226"/>
      <c r="C1" s="226"/>
      <c r="D1" s="226"/>
      <c r="E1" s="226"/>
      <c r="F1" s="226"/>
      <c r="G1" s="226"/>
      <c r="H1" s="226"/>
      <c r="I1" s="226"/>
    </row>
    <row r="2" spans="1:9" ht="14.6" x14ac:dyDescent="0.4">
      <c r="A2" s="227" t="s">
        <v>1</v>
      </c>
      <c r="B2" s="228"/>
      <c r="C2" s="233" t="str">
        <f>'Stavební rozpočet'!D2</f>
        <v>VŠB-TUO rekonstrukce laboratoře v budově CPIT</v>
      </c>
      <c r="D2" s="234"/>
      <c r="E2" s="224" t="s">
        <v>3</v>
      </c>
      <c r="F2" s="224" t="str">
        <f>'Stavební rozpočet'!J2</f>
        <v> </v>
      </c>
      <c r="G2" s="228"/>
      <c r="H2" s="224" t="s">
        <v>239</v>
      </c>
      <c r="I2" s="230" t="s">
        <v>236</v>
      </c>
    </row>
    <row r="3" spans="1:9" ht="15" customHeight="1" x14ac:dyDescent="0.4">
      <c r="A3" s="229"/>
      <c r="B3" s="185"/>
      <c r="C3" s="235"/>
      <c r="D3" s="235"/>
      <c r="E3" s="185"/>
      <c r="F3" s="185"/>
      <c r="G3" s="185"/>
      <c r="H3" s="185"/>
      <c r="I3" s="231"/>
    </row>
    <row r="4" spans="1:9" ht="14.6" x14ac:dyDescent="0.4">
      <c r="A4" s="222" t="s">
        <v>4</v>
      </c>
      <c r="B4" s="185"/>
      <c r="C4" s="184" t="str">
        <f>'Stavební rozpočet'!D4</f>
        <v>REKONSTRUKCE MÍSTNOSTI RD110</v>
      </c>
      <c r="D4" s="185"/>
      <c r="E4" s="184" t="s">
        <v>6</v>
      </c>
      <c r="F4" s="184" t="str">
        <f>'Stavební rozpočet'!J4</f>
        <v> </v>
      </c>
      <c r="G4" s="185"/>
      <c r="H4" s="184" t="s">
        <v>239</v>
      </c>
      <c r="I4" s="231" t="s">
        <v>236</v>
      </c>
    </row>
    <row r="5" spans="1:9" ht="15" customHeight="1" x14ac:dyDescent="0.4">
      <c r="A5" s="229"/>
      <c r="B5" s="185"/>
      <c r="C5" s="185"/>
      <c r="D5" s="185"/>
      <c r="E5" s="185"/>
      <c r="F5" s="185"/>
      <c r="G5" s="185"/>
      <c r="H5" s="185"/>
      <c r="I5" s="231"/>
    </row>
    <row r="6" spans="1:9" ht="14.6" x14ac:dyDescent="0.4">
      <c r="A6" s="222" t="s">
        <v>7</v>
      </c>
      <c r="B6" s="185"/>
      <c r="C6" s="184" t="str">
        <f>'Stavební rozpočet'!D6</f>
        <v>17. listopadu 2172/15, 708 00 Ostrava - Poruba</v>
      </c>
      <c r="D6" s="185"/>
      <c r="E6" s="184" t="s">
        <v>9</v>
      </c>
      <c r="F6" s="184" t="str">
        <f>'Stavební rozpočet'!J6</f>
        <v> </v>
      </c>
      <c r="G6" s="185"/>
      <c r="H6" s="184" t="s">
        <v>239</v>
      </c>
      <c r="I6" s="231" t="s">
        <v>236</v>
      </c>
    </row>
    <row r="7" spans="1:9" ht="15" customHeight="1" x14ac:dyDescent="0.4">
      <c r="A7" s="229"/>
      <c r="B7" s="185"/>
      <c r="C7" s="185"/>
      <c r="D7" s="185"/>
      <c r="E7" s="185"/>
      <c r="F7" s="185"/>
      <c r="G7" s="185"/>
      <c r="H7" s="185"/>
      <c r="I7" s="231"/>
    </row>
    <row r="8" spans="1:9" ht="14.6" x14ac:dyDescent="0.4">
      <c r="A8" s="222" t="s">
        <v>5</v>
      </c>
      <c r="B8" s="185"/>
      <c r="C8" s="184"/>
      <c r="D8" s="185"/>
      <c r="E8" s="184" t="s">
        <v>8</v>
      </c>
      <c r="F8" s="184" t="str">
        <f>'Stavební rozpočet'!H6</f>
        <v xml:space="preserve"> </v>
      </c>
      <c r="G8" s="185"/>
      <c r="H8" s="185" t="s">
        <v>240</v>
      </c>
      <c r="I8" s="232">
        <v>84</v>
      </c>
    </row>
    <row r="9" spans="1:9" ht="14.6" x14ac:dyDescent="0.4">
      <c r="A9" s="229"/>
      <c r="B9" s="185"/>
      <c r="C9" s="185"/>
      <c r="D9" s="185"/>
      <c r="E9" s="185"/>
      <c r="F9" s="185"/>
      <c r="G9" s="185"/>
      <c r="H9" s="185"/>
      <c r="I9" s="231"/>
    </row>
    <row r="10" spans="1:9" ht="14.6" x14ac:dyDescent="0.4">
      <c r="A10" s="222" t="s">
        <v>10</v>
      </c>
      <c r="B10" s="185"/>
      <c r="C10" s="184" t="str">
        <f>'Stavební rozpočet'!D8</f>
        <v xml:space="preserve"> </v>
      </c>
      <c r="D10" s="185"/>
      <c r="E10" s="184" t="s">
        <v>12</v>
      </c>
      <c r="F10" s="184" t="str">
        <f>'Stavební rozpočet'!J8</f>
        <v> </v>
      </c>
      <c r="G10" s="185"/>
      <c r="H10" s="185" t="s">
        <v>241</v>
      </c>
      <c r="I10" s="216"/>
    </row>
    <row r="11" spans="1:9" ht="14.6" x14ac:dyDescent="0.4">
      <c r="A11" s="223"/>
      <c r="B11" s="221"/>
      <c r="C11" s="221"/>
      <c r="D11" s="221"/>
      <c r="E11" s="221"/>
      <c r="F11" s="221"/>
      <c r="G11" s="221"/>
      <c r="H11" s="221"/>
      <c r="I11" s="217"/>
    </row>
    <row r="12" spans="1:9" ht="22.75" x14ac:dyDescent="0.4">
      <c r="A12" s="218" t="s">
        <v>242</v>
      </c>
      <c r="B12" s="218"/>
      <c r="C12" s="218"/>
      <c r="D12" s="218"/>
      <c r="E12" s="218"/>
      <c r="F12" s="218"/>
      <c r="G12" s="218"/>
      <c r="H12" s="218"/>
      <c r="I12" s="218"/>
    </row>
    <row r="13" spans="1:9" ht="26.25" customHeight="1" x14ac:dyDescent="0.4">
      <c r="A13" s="28" t="s">
        <v>243</v>
      </c>
      <c r="B13" s="219" t="s">
        <v>244</v>
      </c>
      <c r="C13" s="220"/>
      <c r="D13" s="29" t="s">
        <v>245</v>
      </c>
      <c r="E13" s="219" t="s">
        <v>246</v>
      </c>
      <c r="F13" s="220"/>
      <c r="G13" s="29" t="s">
        <v>247</v>
      </c>
      <c r="H13" s="219" t="s">
        <v>248</v>
      </c>
      <c r="I13" s="220"/>
    </row>
    <row r="14" spans="1:9" ht="15.45" x14ac:dyDescent="0.4">
      <c r="A14" s="30" t="s">
        <v>249</v>
      </c>
      <c r="B14" s="31" t="s">
        <v>250</v>
      </c>
      <c r="C14" s="32">
        <f>'Stavební rozpočet - součet'!D11+'Stavební rozpočet - součet'!D20+'Stavební rozpočet - součet'!D21</f>
        <v>0</v>
      </c>
      <c r="D14" s="206" t="s">
        <v>251</v>
      </c>
      <c r="E14" s="207"/>
      <c r="F14" s="32">
        <f>VORN!I15</f>
        <v>0</v>
      </c>
      <c r="G14" s="206" t="s">
        <v>252</v>
      </c>
      <c r="H14" s="207"/>
      <c r="I14" s="32">
        <f>VORN!I20</f>
        <v>0</v>
      </c>
    </row>
    <row r="15" spans="1:9" ht="15.45" x14ac:dyDescent="0.4">
      <c r="A15" s="33" t="s">
        <v>236</v>
      </c>
      <c r="B15" s="31" t="s">
        <v>253</v>
      </c>
      <c r="C15" s="32">
        <f>'Stavební rozpočet - součet'!E11+'Stavební rozpočet - součet'!E20+'Stavební rozpočet - součet'!E21</f>
        <v>0</v>
      </c>
      <c r="D15" s="206" t="s">
        <v>254</v>
      </c>
      <c r="E15" s="207"/>
      <c r="F15" s="32">
        <f>VORN!I16</f>
        <v>0</v>
      </c>
      <c r="G15" s="206" t="s">
        <v>255</v>
      </c>
      <c r="H15" s="207"/>
      <c r="I15" s="32">
        <f>VORN!I21</f>
        <v>0</v>
      </c>
    </row>
    <row r="16" spans="1:9" ht="15.45" x14ac:dyDescent="0.4">
      <c r="A16" s="30" t="s">
        <v>256</v>
      </c>
      <c r="B16" s="31" t="s">
        <v>250</v>
      </c>
      <c r="C16" s="32">
        <f>'Stavební rozpočet - součet'!D12+'Stavební rozpočet - součet'!D13+'Stavební rozpočet - součet'!D14+'Stavební rozpočet - součet'!D15+'Stavební rozpočet - součet'!D16+'Stavební rozpočet - součet'!D17+'Stavební rozpočet - součet'!D18+'Stavební rozpočet - součet'!D19++'Stavební rozpočet - součet'!D24+'Stavební rozpočet - součet'!D25+'Stavební rozpočet - součet'!D26</f>
        <v>0</v>
      </c>
      <c r="D16" s="206"/>
      <c r="E16" s="207"/>
      <c r="F16" s="32"/>
      <c r="G16" s="206"/>
      <c r="H16" s="207"/>
      <c r="I16" s="32"/>
    </row>
    <row r="17" spans="1:9" ht="15.45" x14ac:dyDescent="0.4">
      <c r="A17" s="33" t="s">
        <v>236</v>
      </c>
      <c r="B17" s="31" t="s">
        <v>253</v>
      </c>
      <c r="C17" s="32">
        <f>'Stavební rozpočet - součet'!E12+'Stavební rozpočet - součet'!E13+'Stavební rozpočet - součet'!E14+'Stavební rozpočet - součet'!E15+'Stavební rozpočet - součet'!E16+'Stavební rozpočet - součet'!E17+'Stavební rozpočet - součet'!E18+'Stavební rozpočet - součet'!E19++'Stavební rozpočet - součet'!E24+'Stavební rozpočet - součet'!E25+'Stavební rozpočet - součet'!E26</f>
        <v>0</v>
      </c>
      <c r="D17" s="206" t="s">
        <v>236</v>
      </c>
      <c r="E17" s="207"/>
      <c r="F17" s="34" t="s">
        <v>236</v>
      </c>
      <c r="G17" s="206" t="s">
        <v>257</v>
      </c>
      <c r="H17" s="207"/>
      <c r="I17" s="32">
        <f>VORN!I22</f>
        <v>0</v>
      </c>
    </row>
    <row r="18" spans="1:9" ht="15.45" x14ac:dyDescent="0.4">
      <c r="A18" s="30" t="s">
        <v>258</v>
      </c>
      <c r="B18" s="31" t="s">
        <v>250</v>
      </c>
      <c r="C18" s="32">
        <f>'Stavební rozpočet - součet'!D22+'Stavební rozpočet - součet'!D27</f>
        <v>0</v>
      </c>
      <c r="D18" s="206" t="s">
        <v>236</v>
      </c>
      <c r="E18" s="207"/>
      <c r="F18" s="34" t="s">
        <v>236</v>
      </c>
      <c r="G18" s="206" t="s">
        <v>259</v>
      </c>
      <c r="H18" s="207"/>
      <c r="I18" s="32">
        <f>VORN!I23</f>
        <v>0</v>
      </c>
    </row>
    <row r="19" spans="1:9" ht="15.45" x14ac:dyDescent="0.4">
      <c r="A19" s="33" t="s">
        <v>236</v>
      </c>
      <c r="B19" s="31" t="s">
        <v>253</v>
      </c>
      <c r="C19" s="32">
        <f>'Stavební rozpočet - součet'!E22+'Stavební rozpočet - součet'!E27</f>
        <v>0</v>
      </c>
      <c r="D19" s="206" t="s">
        <v>236</v>
      </c>
      <c r="E19" s="207"/>
      <c r="F19" s="34" t="s">
        <v>236</v>
      </c>
      <c r="G19" s="206"/>
      <c r="H19" s="207"/>
      <c r="I19" s="32"/>
    </row>
    <row r="20" spans="1:9" ht="15.45" x14ac:dyDescent="0.4">
      <c r="A20" s="198" t="s">
        <v>260</v>
      </c>
      <c r="B20" s="199"/>
      <c r="C20" s="32"/>
      <c r="D20" s="206" t="s">
        <v>236</v>
      </c>
      <c r="E20" s="207"/>
      <c r="F20" s="34" t="s">
        <v>236</v>
      </c>
      <c r="G20" s="206" t="s">
        <v>236</v>
      </c>
      <c r="H20" s="207"/>
      <c r="I20" s="34" t="s">
        <v>236</v>
      </c>
    </row>
    <row r="21" spans="1:9" ht="15.45" x14ac:dyDescent="0.4">
      <c r="A21" s="213" t="s">
        <v>261</v>
      </c>
      <c r="B21" s="214"/>
      <c r="C21" s="35">
        <f>'Stavební rozpočet - součet'!E23</f>
        <v>0</v>
      </c>
      <c r="D21" s="208" t="s">
        <v>236</v>
      </c>
      <c r="E21" s="209"/>
      <c r="F21" s="36" t="s">
        <v>236</v>
      </c>
      <c r="G21" s="208" t="s">
        <v>236</v>
      </c>
      <c r="H21" s="209"/>
      <c r="I21" s="36" t="s">
        <v>236</v>
      </c>
    </row>
    <row r="22" spans="1:9" ht="16.5" customHeight="1" x14ac:dyDescent="0.4">
      <c r="A22" s="215" t="s">
        <v>262</v>
      </c>
      <c r="B22" s="211"/>
      <c r="C22" s="37">
        <f>ROUND(SUM(C14:C21),0)</f>
        <v>0</v>
      </c>
      <c r="D22" s="210" t="s">
        <v>263</v>
      </c>
      <c r="E22" s="211"/>
      <c r="F22" s="37">
        <f>SUM(F14:F21)</f>
        <v>0</v>
      </c>
      <c r="G22" s="210" t="s">
        <v>264</v>
      </c>
      <c r="H22" s="211"/>
      <c r="I22" s="37">
        <f>SUM(I14:I21)</f>
        <v>0</v>
      </c>
    </row>
    <row r="23" spans="1:9" ht="15.45" x14ac:dyDescent="0.4">
      <c r="D23" s="198" t="s">
        <v>265</v>
      </c>
      <c r="E23" s="199"/>
      <c r="F23" s="38">
        <v>0</v>
      </c>
      <c r="G23" s="212" t="s">
        <v>266</v>
      </c>
      <c r="H23" s="199"/>
      <c r="I23" s="32">
        <v>0</v>
      </c>
    </row>
    <row r="24" spans="1:9" ht="15.45" x14ac:dyDescent="0.4">
      <c r="G24" s="198" t="s">
        <v>267</v>
      </c>
      <c r="H24" s="199"/>
      <c r="I24" s="32">
        <f>vorn_sum+VORN!F26</f>
        <v>0</v>
      </c>
    </row>
    <row r="25" spans="1:9" ht="15.45" x14ac:dyDescent="0.4">
      <c r="G25" s="198" t="s">
        <v>268</v>
      </c>
      <c r="H25" s="199"/>
      <c r="I25" s="32">
        <v>0</v>
      </c>
    </row>
    <row r="27" spans="1:9" ht="15.45" x14ac:dyDescent="0.4">
      <c r="A27" s="200" t="s">
        <v>269</v>
      </c>
      <c r="B27" s="201"/>
      <c r="C27" s="39">
        <f>ROUND(SUM('Stavební rozpočet'!AJ12:AJ221),0)</f>
        <v>0</v>
      </c>
    </row>
    <row r="28" spans="1:9" ht="15.45" x14ac:dyDescent="0.4">
      <c r="A28" s="202" t="s">
        <v>270</v>
      </c>
      <c r="B28" s="203"/>
      <c r="C28" s="40">
        <f>ROUND(SUM('Stavební rozpočet'!AK12:AK221),0)</f>
        <v>0</v>
      </c>
      <c r="D28" s="204" t="s">
        <v>271</v>
      </c>
      <c r="E28" s="201"/>
      <c r="F28" s="39">
        <f>ROUND(C28*(12/100),2)</f>
        <v>0</v>
      </c>
      <c r="G28" s="204" t="s">
        <v>272</v>
      </c>
      <c r="H28" s="201"/>
      <c r="I28" s="39">
        <f>ROUND(SUM(C27:C29),0)</f>
        <v>0</v>
      </c>
    </row>
    <row r="29" spans="1:9" ht="15.45" x14ac:dyDescent="0.4">
      <c r="A29" s="202" t="s">
        <v>273</v>
      </c>
      <c r="B29" s="203"/>
      <c r="C29" s="40">
        <f>C22+F22+I22+I24</f>
        <v>0</v>
      </c>
      <c r="D29" s="205" t="s">
        <v>274</v>
      </c>
      <c r="E29" s="203"/>
      <c r="F29" s="40">
        <f>ROUND(C29*(21/100),2)</f>
        <v>0</v>
      </c>
      <c r="G29" s="205" t="s">
        <v>275</v>
      </c>
      <c r="H29" s="203"/>
      <c r="I29" s="40">
        <f>ROUND(SUM(F28:F29)+I28,0)</f>
        <v>0</v>
      </c>
    </row>
    <row r="31" spans="1:9" x14ac:dyDescent="0.4">
      <c r="A31" s="195" t="s">
        <v>276</v>
      </c>
      <c r="B31" s="187"/>
      <c r="C31" s="188"/>
      <c r="D31" s="186" t="s">
        <v>277</v>
      </c>
      <c r="E31" s="187"/>
      <c r="F31" s="188"/>
      <c r="G31" s="186" t="s">
        <v>278</v>
      </c>
      <c r="H31" s="187"/>
      <c r="I31" s="188"/>
    </row>
    <row r="32" spans="1:9" x14ac:dyDescent="0.4">
      <c r="A32" s="196" t="s">
        <v>236</v>
      </c>
      <c r="B32" s="190"/>
      <c r="C32" s="191"/>
      <c r="D32" s="189" t="s">
        <v>236</v>
      </c>
      <c r="E32" s="190"/>
      <c r="F32" s="191"/>
      <c r="G32" s="189" t="s">
        <v>236</v>
      </c>
      <c r="H32" s="190"/>
      <c r="I32" s="191"/>
    </row>
    <row r="33" spans="1:9" x14ac:dyDescent="0.4">
      <c r="A33" s="196" t="s">
        <v>236</v>
      </c>
      <c r="B33" s="190"/>
      <c r="C33" s="191"/>
      <c r="D33" s="189" t="s">
        <v>236</v>
      </c>
      <c r="E33" s="190"/>
      <c r="F33" s="191"/>
      <c r="G33" s="189" t="s">
        <v>236</v>
      </c>
      <c r="H33" s="190"/>
      <c r="I33" s="191"/>
    </row>
    <row r="34" spans="1:9" x14ac:dyDescent="0.4">
      <c r="A34" s="196" t="s">
        <v>236</v>
      </c>
      <c r="B34" s="190"/>
      <c r="C34" s="191"/>
      <c r="D34" s="189" t="s">
        <v>236</v>
      </c>
      <c r="E34" s="190"/>
      <c r="F34" s="191"/>
      <c r="G34" s="189" t="s">
        <v>236</v>
      </c>
      <c r="H34" s="190"/>
      <c r="I34" s="191"/>
    </row>
    <row r="35" spans="1:9" x14ac:dyDescent="0.4">
      <c r="A35" s="197" t="s">
        <v>279</v>
      </c>
      <c r="B35" s="193"/>
      <c r="C35" s="194"/>
      <c r="D35" s="192" t="s">
        <v>279</v>
      </c>
      <c r="E35" s="193"/>
      <c r="F35" s="194"/>
      <c r="G35" s="192" t="s">
        <v>279</v>
      </c>
      <c r="H35" s="193"/>
      <c r="I35" s="194"/>
    </row>
    <row r="36" spans="1:9" ht="14.6" x14ac:dyDescent="0.4">
      <c r="A36" s="41" t="s">
        <v>280</v>
      </c>
    </row>
    <row r="37" spans="1:9" ht="12.75" customHeight="1" x14ac:dyDescent="0.4">
      <c r="A37" s="184" t="s">
        <v>236</v>
      </c>
      <c r="B37" s="185"/>
      <c r="C37" s="185"/>
      <c r="D37" s="185"/>
      <c r="E37" s="185"/>
      <c r="F37" s="185"/>
      <c r="G37" s="185"/>
      <c r="H37" s="185"/>
      <c r="I37" s="185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pane ySplit="11" topLeftCell="A12" activePane="bottomLeft" state="frozen"/>
      <selection pane="bottomLeft" activeCell="E31" sqref="E31"/>
    </sheetView>
  </sheetViews>
  <sheetFormatPr defaultColWidth="12.15234375" defaultRowHeight="15" customHeight="1" x14ac:dyDescent="0.4"/>
  <cols>
    <col min="1" max="2" width="8.53515625" customWidth="1"/>
    <col min="3" max="3" width="71.4609375" customWidth="1"/>
    <col min="4" max="6" width="27.84375" customWidth="1"/>
    <col min="7" max="7" width="37.15234375" customWidth="1"/>
    <col min="8" max="9" width="0" hidden="1" customWidth="1"/>
  </cols>
  <sheetData>
    <row r="1" spans="1:9" ht="54.75" customHeight="1" x14ac:dyDescent="0.4">
      <c r="A1" s="226" t="s">
        <v>229</v>
      </c>
      <c r="B1" s="226"/>
      <c r="C1" s="226"/>
      <c r="D1" s="226"/>
      <c r="E1" s="226"/>
      <c r="F1" s="226"/>
      <c r="G1" s="226"/>
    </row>
    <row r="2" spans="1:9" ht="14.6" x14ac:dyDescent="0.4">
      <c r="A2" s="227" t="s">
        <v>1</v>
      </c>
      <c r="B2" s="228"/>
      <c r="C2" s="233" t="str">
        <f>'Stavební rozpočet'!D2</f>
        <v>VŠB-TUO rekonstrukce laboratoře v budově CPIT</v>
      </c>
      <c r="D2" s="228" t="s">
        <v>2</v>
      </c>
      <c r="E2" s="228" t="s">
        <v>20</v>
      </c>
      <c r="F2" s="224" t="s">
        <v>3</v>
      </c>
      <c r="G2" s="236" t="str">
        <f>'Stavební rozpočet'!J2</f>
        <v> </v>
      </c>
    </row>
    <row r="3" spans="1:9" ht="15" customHeight="1" x14ac:dyDescent="0.4">
      <c r="A3" s="229"/>
      <c r="B3" s="185"/>
      <c r="C3" s="235"/>
      <c r="D3" s="185"/>
      <c r="E3" s="185"/>
      <c r="F3" s="185"/>
      <c r="G3" s="231"/>
    </row>
    <row r="4" spans="1:9" ht="14.6" x14ac:dyDescent="0.4">
      <c r="A4" s="222" t="s">
        <v>4</v>
      </c>
      <c r="B4" s="185"/>
      <c r="C4" s="184" t="str">
        <f>'Stavební rozpočet'!D4</f>
        <v>REKONSTRUKCE MÍSTNOSTI RD110</v>
      </c>
      <c r="D4" s="185" t="s">
        <v>5</v>
      </c>
      <c r="E4" s="185"/>
      <c r="F4" s="184" t="s">
        <v>6</v>
      </c>
      <c r="G4" s="216" t="str">
        <f>'Stavební rozpočet'!J4</f>
        <v> </v>
      </c>
    </row>
    <row r="5" spans="1:9" ht="15" customHeight="1" x14ac:dyDescent="0.4">
      <c r="A5" s="229"/>
      <c r="B5" s="185"/>
      <c r="C5" s="185"/>
      <c r="D5" s="185"/>
      <c r="E5" s="185"/>
      <c r="F5" s="185"/>
      <c r="G5" s="231"/>
    </row>
    <row r="6" spans="1:9" ht="14.6" x14ac:dyDescent="0.4">
      <c r="A6" s="222" t="s">
        <v>7</v>
      </c>
      <c r="B6" s="185"/>
      <c r="C6" s="184" t="str">
        <f>'Stavební rozpočet'!D6</f>
        <v>17. listopadu 2172/15, 708 00 Ostrava - Poruba</v>
      </c>
      <c r="D6" s="185" t="s">
        <v>8</v>
      </c>
      <c r="E6" s="185" t="s">
        <v>20</v>
      </c>
      <c r="F6" s="184" t="s">
        <v>9</v>
      </c>
      <c r="G6" s="216" t="str">
        <f>'Stavební rozpočet'!J6</f>
        <v> </v>
      </c>
    </row>
    <row r="7" spans="1:9" ht="15" customHeight="1" x14ac:dyDescent="0.4">
      <c r="A7" s="229"/>
      <c r="B7" s="185"/>
      <c r="C7" s="185"/>
      <c r="D7" s="185"/>
      <c r="E7" s="185"/>
      <c r="F7" s="185"/>
      <c r="G7" s="231"/>
    </row>
    <row r="8" spans="1:9" ht="14.6" x14ac:dyDescent="0.4">
      <c r="A8" s="222" t="s">
        <v>12</v>
      </c>
      <c r="B8" s="185"/>
      <c r="C8" s="184" t="str">
        <f>'Stavební rozpočet'!J8</f>
        <v> </v>
      </c>
      <c r="D8" s="185" t="s">
        <v>11</v>
      </c>
      <c r="E8" s="185"/>
      <c r="F8" s="185" t="s">
        <v>11</v>
      </c>
      <c r="G8" s="216"/>
    </row>
    <row r="9" spans="1:9" ht="14.6" x14ac:dyDescent="0.4">
      <c r="A9" s="239"/>
      <c r="B9" s="238"/>
      <c r="C9" s="238"/>
      <c r="D9" s="238"/>
      <c r="E9" s="238"/>
      <c r="F9" s="238"/>
      <c r="G9" s="237"/>
    </row>
    <row r="10" spans="1:9" ht="14.6" x14ac:dyDescent="0.4">
      <c r="A10" s="16" t="s">
        <v>231</v>
      </c>
      <c r="B10" s="17" t="s">
        <v>14</v>
      </c>
      <c r="C10" s="18" t="s">
        <v>15</v>
      </c>
      <c r="D10" s="19" t="s">
        <v>232</v>
      </c>
      <c r="E10" s="19" t="s">
        <v>233</v>
      </c>
      <c r="F10" s="19" t="s">
        <v>234</v>
      </c>
      <c r="G10" s="20" t="s">
        <v>235</v>
      </c>
    </row>
    <row r="11" spans="1:9" ht="14.6" x14ac:dyDescent="0.4">
      <c r="A11" s="21" t="s">
        <v>236</v>
      </c>
      <c r="B11" s="22" t="s">
        <v>21</v>
      </c>
      <c r="C11" s="22" t="s">
        <v>22</v>
      </c>
      <c r="D11" s="23">
        <f>ROUND('Stavební rozpočet'!I12,2)</f>
        <v>0</v>
      </c>
      <c r="E11" s="23">
        <f>ROUND('Stavební rozpočet'!J12,2)</f>
        <v>0</v>
      </c>
      <c r="F11" s="23">
        <f>ROUND('Stavební rozpočet'!K12,2)</f>
        <v>0</v>
      </c>
      <c r="G11" s="24">
        <f>'Stavební rozpočet'!M12</f>
        <v>0.59206139999999996</v>
      </c>
      <c r="H11" s="25" t="s">
        <v>237</v>
      </c>
      <c r="I11" s="9">
        <f t="shared" ref="I11:I27" si="0">IF(H11="F",0,F11)</f>
        <v>0</v>
      </c>
    </row>
    <row r="12" spans="1:9" ht="14.6" x14ac:dyDescent="0.4">
      <c r="A12" s="1" t="s">
        <v>236</v>
      </c>
      <c r="B12" s="2" t="s">
        <v>27</v>
      </c>
      <c r="C12" s="2" t="s">
        <v>28</v>
      </c>
      <c r="D12" s="9">
        <f>ROUND('Stavební rozpočet'!I14,2)</f>
        <v>0</v>
      </c>
      <c r="E12" s="9">
        <f>ROUND('Stavební rozpočet'!J14,2)</f>
        <v>0</v>
      </c>
      <c r="F12" s="9">
        <f>ROUND('Stavební rozpočet'!K14,2)</f>
        <v>0</v>
      </c>
      <c r="G12" s="10">
        <f>'Stavební rozpočet'!M14</f>
        <v>2.0376931000000003</v>
      </c>
      <c r="H12" s="25" t="s">
        <v>237</v>
      </c>
      <c r="I12" s="9">
        <f t="shared" si="0"/>
        <v>0</v>
      </c>
    </row>
    <row r="13" spans="1:9" ht="14.6" x14ac:dyDescent="0.4">
      <c r="A13" s="1" t="s">
        <v>236</v>
      </c>
      <c r="B13" s="2" t="s">
        <v>43</v>
      </c>
      <c r="C13" s="2" t="s">
        <v>44</v>
      </c>
      <c r="D13" s="9">
        <f>ROUND('Stavební rozpočet'!I22,2)</f>
        <v>0</v>
      </c>
      <c r="E13" s="9">
        <f>ROUND('Stavební rozpočet'!J22,2)</f>
        <v>0</v>
      </c>
      <c r="F13" s="9">
        <f>ROUND('Stavební rozpočet'!K22,2)</f>
        <v>0</v>
      </c>
      <c r="G13" s="10">
        <f>'Stavební rozpočet'!M22</f>
        <v>1.7444000000000001E-2</v>
      </c>
      <c r="H13" s="25" t="s">
        <v>237</v>
      </c>
      <c r="I13" s="9">
        <f t="shared" si="0"/>
        <v>0</v>
      </c>
    </row>
    <row r="14" spans="1:9" ht="14.6" x14ac:dyDescent="0.4">
      <c r="A14" s="1" t="s">
        <v>236</v>
      </c>
      <c r="B14" s="2" t="s">
        <v>47</v>
      </c>
      <c r="C14" s="2" t="s">
        <v>48</v>
      </c>
      <c r="D14" s="9">
        <f>ROUND('Stavební rozpočet'!I24,2)</f>
        <v>0</v>
      </c>
      <c r="E14" s="9">
        <f>ROUND('Stavební rozpočet'!J24,2)</f>
        <v>0</v>
      </c>
      <c r="F14" s="9">
        <f>ROUND('Stavební rozpočet'!K24,2)</f>
        <v>0</v>
      </c>
      <c r="G14" s="10">
        <f>'Stavební rozpočet'!M24</f>
        <v>5.6719999999999993E-2</v>
      </c>
      <c r="H14" s="25" t="s">
        <v>237</v>
      </c>
      <c r="I14" s="9">
        <f t="shared" si="0"/>
        <v>0</v>
      </c>
    </row>
    <row r="15" spans="1:9" ht="14.6" x14ac:dyDescent="0.4">
      <c r="A15" s="1" t="s">
        <v>236</v>
      </c>
      <c r="B15" s="2" t="s">
        <v>55</v>
      </c>
      <c r="C15" s="2" t="s">
        <v>56</v>
      </c>
      <c r="D15" s="9">
        <f>ROUND('Stavební rozpočet'!I27,2)</f>
        <v>0</v>
      </c>
      <c r="E15" s="9">
        <f>ROUND('Stavební rozpočet'!J27,2)</f>
        <v>0</v>
      </c>
      <c r="F15" s="9">
        <f>ROUND('Stavební rozpočet'!K27,2)</f>
        <v>0</v>
      </c>
      <c r="G15" s="10">
        <f>'Stavební rozpočet'!M27</f>
        <v>4.4427399999999999E-2</v>
      </c>
      <c r="H15" s="25" t="s">
        <v>237</v>
      </c>
      <c r="I15" s="9">
        <f t="shared" si="0"/>
        <v>0</v>
      </c>
    </row>
    <row r="16" spans="1:9" ht="14.6" x14ac:dyDescent="0.4">
      <c r="A16" s="1" t="s">
        <v>236</v>
      </c>
      <c r="B16" s="2" t="s">
        <v>72</v>
      </c>
      <c r="C16" s="2" t="s">
        <v>73</v>
      </c>
      <c r="D16" s="9">
        <f>ROUND('Stavební rozpočet'!I35,2)</f>
        <v>0</v>
      </c>
      <c r="E16" s="9">
        <f>ROUND('Stavební rozpočet'!J35,2)</f>
        <v>0</v>
      </c>
      <c r="F16" s="9">
        <f>ROUND('Stavební rozpočet'!K35,2)</f>
        <v>0</v>
      </c>
      <c r="G16" s="10">
        <f>'Stavební rozpočet'!M35</f>
        <v>1.0193591</v>
      </c>
      <c r="H16" s="25" t="s">
        <v>237</v>
      </c>
      <c r="I16" s="9">
        <f t="shared" si="0"/>
        <v>0</v>
      </c>
    </row>
    <row r="17" spans="1:9" ht="14.6" x14ac:dyDescent="0.4">
      <c r="A17" s="1" t="s">
        <v>236</v>
      </c>
      <c r="B17" s="2" t="s">
        <v>90</v>
      </c>
      <c r="C17" s="2" t="s">
        <v>91</v>
      </c>
      <c r="D17" s="9">
        <f>ROUND('Stavební rozpočet'!I44,2)</f>
        <v>0</v>
      </c>
      <c r="E17" s="9">
        <f>ROUND('Stavební rozpočet'!J44,2)</f>
        <v>0</v>
      </c>
      <c r="F17" s="9">
        <f>ROUND('Stavební rozpočet'!K44,2)</f>
        <v>0</v>
      </c>
      <c r="G17" s="10">
        <f>'Stavební rozpočet'!M44</f>
        <v>8.8709800000000005E-2</v>
      </c>
      <c r="H17" s="25" t="s">
        <v>237</v>
      </c>
      <c r="I17" s="9">
        <f t="shared" si="0"/>
        <v>0</v>
      </c>
    </row>
    <row r="18" spans="1:9" ht="14.6" x14ac:dyDescent="0.4">
      <c r="A18" s="1" t="s">
        <v>236</v>
      </c>
      <c r="B18" s="2" t="s">
        <v>96</v>
      </c>
      <c r="C18" s="2" t="s">
        <v>97</v>
      </c>
      <c r="D18" s="9">
        <f>ROUND('Stavební rozpočet'!I47,2)</f>
        <v>0</v>
      </c>
      <c r="E18" s="9">
        <f>ROUND('Stavební rozpočet'!J47,2)</f>
        <v>0</v>
      </c>
      <c r="F18" s="9">
        <f>ROUND('Stavební rozpočet'!K47,2)</f>
        <v>0</v>
      </c>
      <c r="G18" s="10">
        <f>'Stavební rozpočet'!M47</f>
        <v>0.15070549999999999</v>
      </c>
      <c r="H18" s="25" t="s">
        <v>237</v>
      </c>
      <c r="I18" s="9">
        <f t="shared" si="0"/>
        <v>0</v>
      </c>
    </row>
    <row r="19" spans="1:9" ht="14.6" x14ac:dyDescent="0.4">
      <c r="A19" s="1" t="s">
        <v>236</v>
      </c>
      <c r="B19" s="2" t="s">
        <v>106</v>
      </c>
      <c r="C19" s="2" t="s">
        <v>107</v>
      </c>
      <c r="D19" s="9">
        <f>ROUND('Stavební rozpočet'!I52,2)</f>
        <v>0</v>
      </c>
      <c r="E19" s="9">
        <f>ROUND('Stavební rozpočet'!J52,2)</f>
        <v>0</v>
      </c>
      <c r="F19" s="9">
        <f>ROUND('Stavební rozpočet'!K52,2)</f>
        <v>0</v>
      </c>
      <c r="G19" s="10">
        <f>'Stavební rozpočet'!M52</f>
        <v>0.13575030000000002</v>
      </c>
      <c r="H19" s="25" t="s">
        <v>237</v>
      </c>
      <c r="I19" s="9">
        <f t="shared" si="0"/>
        <v>0</v>
      </c>
    </row>
    <row r="20" spans="1:9" ht="14.6" x14ac:dyDescent="0.4">
      <c r="A20" s="1" t="s">
        <v>236</v>
      </c>
      <c r="B20" s="2" t="s">
        <v>122</v>
      </c>
      <c r="C20" s="2" t="s">
        <v>123</v>
      </c>
      <c r="D20" s="9">
        <f>ROUND('Stavební rozpočet'!I60,2)</f>
        <v>0</v>
      </c>
      <c r="E20" s="9">
        <f>ROUND('Stavební rozpočet'!J60,2)</f>
        <v>0</v>
      </c>
      <c r="F20" s="9">
        <f>ROUND('Stavební rozpočet'!K60,2)</f>
        <v>0</v>
      </c>
      <c r="G20" s="10">
        <f>'Stavební rozpočet'!M60</f>
        <v>9.9640000000000015E-4</v>
      </c>
      <c r="H20" s="25" t="s">
        <v>237</v>
      </c>
      <c r="I20" s="9">
        <f t="shared" si="0"/>
        <v>0</v>
      </c>
    </row>
    <row r="21" spans="1:9" ht="14.6" x14ac:dyDescent="0.4">
      <c r="A21" s="1" t="s">
        <v>236</v>
      </c>
      <c r="B21" s="2" t="s">
        <v>126</v>
      </c>
      <c r="C21" s="2" t="s">
        <v>127</v>
      </c>
      <c r="D21" s="9">
        <f>ROUND('Stavební rozpočet'!I62,2)</f>
        <v>0</v>
      </c>
      <c r="E21" s="9">
        <f>ROUND('Stavební rozpočet'!J62,2)</f>
        <v>0</v>
      </c>
      <c r="F21" s="9">
        <f>ROUND('Stavební rozpočet'!K62,2)</f>
        <v>0</v>
      </c>
      <c r="G21" s="10">
        <f>'Stavební rozpočet'!M62</f>
        <v>5.9908728999999994</v>
      </c>
      <c r="H21" s="25" t="s">
        <v>237</v>
      </c>
      <c r="I21" s="9">
        <f t="shared" si="0"/>
        <v>0</v>
      </c>
    </row>
    <row r="22" spans="1:9" ht="14.6" x14ac:dyDescent="0.4">
      <c r="A22" s="1" t="s">
        <v>236</v>
      </c>
      <c r="B22" s="2" t="s">
        <v>151</v>
      </c>
      <c r="C22" s="2" t="s">
        <v>152</v>
      </c>
      <c r="D22" s="9">
        <f>'ELektro MAR '!H54</f>
        <v>0</v>
      </c>
      <c r="E22" s="9">
        <f>'ELektro MAR '!I54</f>
        <v>0</v>
      </c>
      <c r="F22" s="9">
        <f>ROUND('Stavební rozpočet'!K73,2)</f>
        <v>0</v>
      </c>
      <c r="G22" s="10">
        <f>'Stavební rozpočet'!M73</f>
        <v>3.4299999999999999E-3</v>
      </c>
      <c r="H22" s="25" t="s">
        <v>237</v>
      </c>
      <c r="I22" s="9">
        <f t="shared" si="0"/>
        <v>0</v>
      </c>
    </row>
    <row r="23" spans="1:9" ht="14.6" x14ac:dyDescent="0.4">
      <c r="A23" s="1" t="s">
        <v>236</v>
      </c>
      <c r="B23" s="2" t="s">
        <v>156</v>
      </c>
      <c r="C23" s="2" t="s">
        <v>157</v>
      </c>
      <c r="D23" s="9">
        <f>ROUND('Stavební rozpočet'!I75,2)</f>
        <v>0</v>
      </c>
      <c r="E23" s="9">
        <f>ROUND('Stavební rozpočet'!J75,2)</f>
        <v>0</v>
      </c>
      <c r="F23" s="9">
        <f>ROUND('Stavební rozpočet'!K75,2)</f>
        <v>0</v>
      </c>
      <c r="G23" s="10">
        <f>'Stavební rozpočet'!M75</f>
        <v>0</v>
      </c>
      <c r="H23" s="25" t="s">
        <v>237</v>
      </c>
      <c r="I23" s="9">
        <f t="shared" si="0"/>
        <v>0</v>
      </c>
    </row>
    <row r="24" spans="1:9" ht="14.6" x14ac:dyDescent="0.4">
      <c r="A24" s="1" t="s">
        <v>236</v>
      </c>
      <c r="B24" s="2" t="s">
        <v>175</v>
      </c>
      <c r="C24" s="2" t="s">
        <v>176</v>
      </c>
      <c r="D24" s="9">
        <f>ROUND('Stavební rozpočet'!I84,2)</f>
        <v>0</v>
      </c>
      <c r="E24" s="9">
        <f>ROUND('Stavební rozpočet'!J84,2)</f>
        <v>0</v>
      </c>
      <c r="F24" s="9">
        <f>ROUND('Stavební rozpočet'!K84,2)</f>
        <v>0</v>
      </c>
      <c r="G24" s="10">
        <f>'Stavební rozpočet'!M84</f>
        <v>2.9843799999999998</v>
      </c>
      <c r="H24" s="25" t="s">
        <v>237</v>
      </c>
      <c r="I24" s="9">
        <f t="shared" si="0"/>
        <v>0</v>
      </c>
    </row>
    <row r="25" spans="1:9" ht="14.6" x14ac:dyDescent="0.4">
      <c r="A25" s="1" t="s">
        <v>236</v>
      </c>
      <c r="B25" s="2" t="s">
        <v>190</v>
      </c>
      <c r="C25" s="2" t="s">
        <v>191</v>
      </c>
      <c r="D25" s="9">
        <f>ROUND('Stavební rozpočet'!I91,2)</f>
        <v>0</v>
      </c>
      <c r="E25" s="9">
        <f>ROUND('Stavební rozpočet'!J91,2)</f>
        <v>0</v>
      </c>
      <c r="F25" s="9">
        <f>ROUND('Stavební rozpočet'!K91,2)</f>
        <v>0</v>
      </c>
      <c r="G25" s="10">
        <f>'Stavební rozpočet'!M91</f>
        <v>5.5500000000000002E-3</v>
      </c>
      <c r="H25" s="25" t="s">
        <v>237</v>
      </c>
      <c r="I25" s="9">
        <f t="shared" si="0"/>
        <v>0</v>
      </c>
    </row>
    <row r="26" spans="1:9" ht="14.6" x14ac:dyDescent="0.4">
      <c r="A26" s="1" t="s">
        <v>236</v>
      </c>
      <c r="B26" s="2" t="s">
        <v>200</v>
      </c>
      <c r="C26" s="2" t="s">
        <v>201</v>
      </c>
      <c r="D26" s="9">
        <f>ROUND('Stavební rozpočet'!I96,2)</f>
        <v>0</v>
      </c>
      <c r="E26" s="9">
        <f>ROUND('Stavební rozpočet'!J96,2)</f>
        <v>0</v>
      </c>
      <c r="F26" s="9">
        <f>ROUND('Stavební rozpočet'!K96,2)</f>
        <v>0</v>
      </c>
      <c r="G26" s="10">
        <f>'Stavební rozpočet'!M96</f>
        <v>0.12723300000000001</v>
      </c>
      <c r="H26" s="25" t="s">
        <v>237</v>
      </c>
      <c r="I26" s="9">
        <f t="shared" si="0"/>
        <v>0</v>
      </c>
    </row>
    <row r="27" spans="1:9" ht="14.6" x14ac:dyDescent="0.4">
      <c r="A27" s="4" t="s">
        <v>236</v>
      </c>
      <c r="B27" s="5" t="s">
        <v>224</v>
      </c>
      <c r="C27" s="5" t="s">
        <v>225</v>
      </c>
      <c r="D27" s="14">
        <f>' VZT '!H56</f>
        <v>0</v>
      </c>
      <c r="E27" s="14">
        <f>' VZT '!I56</f>
        <v>0</v>
      </c>
      <c r="F27" s="14">
        <f>ROUND('Stavební rozpočet'!K108,2)</f>
        <v>0</v>
      </c>
      <c r="G27" s="15">
        <f>'Stavební rozpočet'!M108</f>
        <v>0</v>
      </c>
      <c r="H27" s="25" t="s">
        <v>237</v>
      </c>
      <c r="I27" s="9">
        <f t="shared" si="0"/>
        <v>0</v>
      </c>
    </row>
    <row r="28" spans="1:9" ht="14.6" x14ac:dyDescent="0.4">
      <c r="E28" s="26" t="s">
        <v>228</v>
      </c>
      <c r="F28" s="27">
        <f>ROUND(SUM(I11:I27),0)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ageMargins left="0.393999993801117" right="0.393999993801117" top="0.59100002050399802" bottom="0.59100002050399802" header="0" footer="0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X116"/>
  <sheetViews>
    <sheetView topLeftCell="A76" workbookViewId="0">
      <selection activeCell="J123" sqref="J122:J123"/>
    </sheetView>
  </sheetViews>
  <sheetFormatPr defaultColWidth="12.15234375" defaultRowHeight="15" customHeight="1" x14ac:dyDescent="0.4"/>
  <cols>
    <col min="1" max="1" width="4" customWidth="1"/>
    <col min="2" max="2" width="7.53515625" customWidth="1"/>
    <col min="3" max="3" width="17.84375" customWidth="1"/>
    <col min="4" max="4" width="42.84375" customWidth="1"/>
    <col min="5" max="5" width="35.69140625" customWidth="1"/>
    <col min="6" max="6" width="8" customWidth="1"/>
    <col min="7" max="7" width="12.84375" customWidth="1"/>
    <col min="8" max="8" width="12" customWidth="1"/>
    <col min="9" max="11" width="15.69140625" customWidth="1"/>
    <col min="12" max="13" width="11.69140625" customWidth="1"/>
    <col min="14" max="14" width="14.69140625" customWidth="1"/>
    <col min="26" max="64" width="0" hidden="1" customWidth="1"/>
    <col min="75" max="75" width="0" hidden="1" customWidth="1"/>
    <col min="76" max="76" width="78.53515625" hidden="1" customWidth="1"/>
    <col min="77" max="77" width="0" hidden="1" customWidth="1"/>
  </cols>
  <sheetData>
    <row r="1" spans="1:76" ht="54.75" customHeight="1" x14ac:dyDescent="0.4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AS1" s="13">
        <f>SUM(AJ1:AJ2)</f>
        <v>0</v>
      </c>
      <c r="AT1" s="13">
        <f>SUM(AK1:AK2)</f>
        <v>0</v>
      </c>
      <c r="AU1" s="13">
        <f>SUM(AL1:AL2)</f>
        <v>0</v>
      </c>
    </row>
    <row r="2" spans="1:76" ht="14.6" x14ac:dyDescent="0.4">
      <c r="A2" s="227" t="s">
        <v>1</v>
      </c>
      <c r="B2" s="228"/>
      <c r="C2" s="228"/>
      <c r="D2" s="233" t="s">
        <v>471</v>
      </c>
      <c r="E2" s="234"/>
      <c r="F2" s="228" t="s">
        <v>2</v>
      </c>
      <c r="G2" s="228"/>
      <c r="H2" s="228" t="s">
        <v>20</v>
      </c>
      <c r="I2" s="224" t="s">
        <v>3</v>
      </c>
      <c r="J2" s="228" t="s">
        <v>292</v>
      </c>
      <c r="K2" s="228"/>
      <c r="L2" s="228"/>
      <c r="M2" s="228"/>
      <c r="N2" s="230"/>
    </row>
    <row r="3" spans="1:76" ht="14.6" x14ac:dyDescent="0.4">
      <c r="A3" s="229"/>
      <c r="B3" s="185"/>
      <c r="C3" s="185"/>
      <c r="D3" s="235"/>
      <c r="E3" s="235"/>
      <c r="F3" s="185"/>
      <c r="G3" s="185"/>
      <c r="H3" s="185"/>
      <c r="I3" s="185"/>
      <c r="J3" s="185"/>
      <c r="K3" s="185"/>
      <c r="L3" s="185"/>
      <c r="M3" s="185"/>
      <c r="N3" s="231"/>
    </row>
    <row r="4" spans="1:76" ht="14.6" x14ac:dyDescent="0.4">
      <c r="A4" s="222" t="s">
        <v>4</v>
      </c>
      <c r="B4" s="185"/>
      <c r="C4" s="185"/>
      <c r="D4" s="184" t="s">
        <v>293</v>
      </c>
      <c r="E4" s="185"/>
      <c r="F4" s="185" t="s">
        <v>5</v>
      </c>
      <c r="G4" s="185"/>
      <c r="H4" s="185" t="s">
        <v>230</v>
      </c>
      <c r="I4" s="184" t="s">
        <v>6</v>
      </c>
      <c r="J4" s="185" t="s">
        <v>292</v>
      </c>
      <c r="K4" s="185"/>
      <c r="L4" s="185"/>
      <c r="M4" s="185"/>
      <c r="N4" s="231"/>
    </row>
    <row r="5" spans="1:76" ht="14.6" x14ac:dyDescent="0.4">
      <c r="A5" s="229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231"/>
    </row>
    <row r="6" spans="1:76" ht="14.6" x14ac:dyDescent="0.4">
      <c r="A6" s="222" t="s">
        <v>7</v>
      </c>
      <c r="B6" s="185"/>
      <c r="C6" s="185"/>
      <c r="D6" s="184" t="s">
        <v>294</v>
      </c>
      <c r="E6" s="185"/>
      <c r="F6" s="185" t="s">
        <v>8</v>
      </c>
      <c r="G6" s="185"/>
      <c r="H6" s="185" t="s">
        <v>20</v>
      </c>
      <c r="I6" s="184" t="s">
        <v>9</v>
      </c>
      <c r="J6" s="185" t="s">
        <v>292</v>
      </c>
      <c r="K6" s="185"/>
      <c r="L6" s="185"/>
      <c r="M6" s="185"/>
      <c r="N6" s="231"/>
    </row>
    <row r="7" spans="1:76" ht="14.6" x14ac:dyDescent="0.4">
      <c r="A7" s="229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231"/>
    </row>
    <row r="8" spans="1:76" ht="14.6" x14ac:dyDescent="0.4">
      <c r="A8" s="222" t="s">
        <v>10</v>
      </c>
      <c r="B8" s="185"/>
      <c r="C8" s="185"/>
      <c r="D8" s="184" t="s">
        <v>20</v>
      </c>
      <c r="E8" s="185"/>
      <c r="F8" s="185" t="s">
        <v>11</v>
      </c>
      <c r="G8" s="185"/>
      <c r="H8" s="185" t="s">
        <v>230</v>
      </c>
      <c r="I8" s="184" t="s">
        <v>12</v>
      </c>
      <c r="J8" s="185" t="s">
        <v>292</v>
      </c>
      <c r="K8" s="185"/>
      <c r="L8" s="185"/>
      <c r="M8" s="185"/>
      <c r="N8" s="231"/>
    </row>
    <row r="9" spans="1:76" ht="14.6" x14ac:dyDescent="0.4">
      <c r="A9" s="239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7"/>
    </row>
    <row r="10" spans="1:76" ht="14.6" x14ac:dyDescent="0.4">
      <c r="A10" s="50" t="s">
        <v>13</v>
      </c>
      <c r="B10" s="51" t="s">
        <v>231</v>
      </c>
      <c r="C10" s="51" t="s">
        <v>14</v>
      </c>
      <c r="D10" s="244" t="s">
        <v>15</v>
      </c>
      <c r="E10" s="245"/>
      <c r="F10" s="51" t="s">
        <v>16</v>
      </c>
      <c r="G10" s="52" t="s">
        <v>17</v>
      </c>
      <c r="H10" s="53" t="s">
        <v>295</v>
      </c>
      <c r="I10" s="248" t="s">
        <v>296</v>
      </c>
      <c r="J10" s="249"/>
      <c r="K10" s="250"/>
      <c r="L10" s="251" t="s">
        <v>297</v>
      </c>
      <c r="M10" s="252"/>
      <c r="N10" s="54" t="s">
        <v>298</v>
      </c>
      <c r="BK10" s="12" t="s">
        <v>19</v>
      </c>
      <c r="BL10" s="55" t="s">
        <v>18</v>
      </c>
      <c r="BW10" s="55" t="s">
        <v>299</v>
      </c>
    </row>
    <row r="11" spans="1:76" ht="14.6" x14ac:dyDescent="0.4">
      <c r="A11" s="56" t="s">
        <v>20</v>
      </c>
      <c r="B11" s="57" t="s">
        <v>20</v>
      </c>
      <c r="C11" s="57" t="s">
        <v>20</v>
      </c>
      <c r="D11" s="246" t="s">
        <v>300</v>
      </c>
      <c r="E11" s="247"/>
      <c r="F11" s="57" t="s">
        <v>20</v>
      </c>
      <c r="G11" s="57" t="s">
        <v>20</v>
      </c>
      <c r="H11" s="58" t="s">
        <v>301</v>
      </c>
      <c r="I11" s="59" t="s">
        <v>302</v>
      </c>
      <c r="J11" s="60" t="s">
        <v>253</v>
      </c>
      <c r="K11" s="61" t="s">
        <v>303</v>
      </c>
      <c r="L11" s="62" t="s">
        <v>304</v>
      </c>
      <c r="M11" s="63" t="s">
        <v>303</v>
      </c>
      <c r="N11" s="64" t="s">
        <v>305</v>
      </c>
      <c r="Z11" s="12" t="s">
        <v>306</v>
      </c>
      <c r="AA11" s="12" t="s">
        <v>307</v>
      </c>
      <c r="AB11" s="12" t="s">
        <v>308</v>
      </c>
      <c r="AC11" s="12" t="s">
        <v>309</v>
      </c>
      <c r="AD11" s="12" t="s">
        <v>310</v>
      </c>
      <c r="AE11" s="12" t="s">
        <v>311</v>
      </c>
      <c r="AF11" s="12" t="s">
        <v>312</v>
      </c>
      <c r="AG11" s="12" t="s">
        <v>313</v>
      </c>
      <c r="AH11" s="12" t="s">
        <v>314</v>
      </c>
      <c r="BH11" s="12" t="s">
        <v>315</v>
      </c>
      <c r="BI11" s="12" t="s">
        <v>316</v>
      </c>
      <c r="BJ11" s="12" t="s">
        <v>317</v>
      </c>
    </row>
    <row r="12" spans="1:76" ht="14.6" x14ac:dyDescent="0.4">
      <c r="A12" s="65" t="s">
        <v>236</v>
      </c>
      <c r="B12" s="6" t="s">
        <v>236</v>
      </c>
      <c r="C12" s="6" t="s">
        <v>21</v>
      </c>
      <c r="D12" s="253" t="s">
        <v>22</v>
      </c>
      <c r="E12" s="254"/>
      <c r="F12" s="66" t="s">
        <v>20</v>
      </c>
      <c r="G12" s="66" t="s">
        <v>20</v>
      </c>
      <c r="H12" s="66" t="s">
        <v>20</v>
      </c>
      <c r="I12" s="8">
        <f>ROUND(SUM(I13:I13),0)</f>
        <v>0</v>
      </c>
      <c r="J12" s="8">
        <f>ROUND(SUM(J13:J13),0)</f>
        <v>0</v>
      </c>
      <c r="K12" s="8">
        <f>ROUND(SUM(K13:K13),0)</f>
        <v>0</v>
      </c>
      <c r="L12" s="7" t="s">
        <v>236</v>
      </c>
      <c r="M12" s="8">
        <f>SUM(M13:M13)</f>
        <v>0.59206139999999996</v>
      </c>
      <c r="N12" s="67" t="s">
        <v>236</v>
      </c>
      <c r="AI12" s="12" t="s">
        <v>236</v>
      </c>
      <c r="AS12" s="13">
        <f>SUM(AJ13:AJ13)</f>
        <v>0</v>
      </c>
      <c r="AT12" s="13">
        <f>SUM(AK13:AK13)</f>
        <v>0</v>
      </c>
      <c r="AU12" s="13">
        <f>SUM(AL13:AL13)</f>
        <v>0</v>
      </c>
    </row>
    <row r="13" spans="1:76" ht="14.6" x14ac:dyDescent="0.4">
      <c r="A13" s="1" t="s">
        <v>318</v>
      </c>
      <c r="B13" s="2" t="s">
        <v>236</v>
      </c>
      <c r="C13" s="2" t="s">
        <v>23</v>
      </c>
      <c r="D13" s="184" t="s">
        <v>24</v>
      </c>
      <c r="E13" s="185"/>
      <c r="F13" s="2" t="s">
        <v>25</v>
      </c>
      <c r="G13" s="9">
        <v>11.34</v>
      </c>
      <c r="H13" s="9"/>
      <c r="I13" s="9">
        <f>ROUND(G13*AO13,2)</f>
        <v>0</v>
      </c>
      <c r="J13" s="9">
        <f>ROUND(G13*AP13,2)</f>
        <v>0</v>
      </c>
      <c r="K13" s="9">
        <f>ROUND(G13*H13,0)</f>
        <v>0</v>
      </c>
      <c r="L13" s="9">
        <v>5.2209999999999999E-2</v>
      </c>
      <c r="M13" s="9">
        <f>G13*L13</f>
        <v>0.59206139999999996</v>
      </c>
      <c r="N13" s="68" t="s">
        <v>319</v>
      </c>
      <c r="Z13" s="9">
        <f>ROUND(IF(AQ13="5",BJ13,0),2)</f>
        <v>0</v>
      </c>
      <c r="AB13" s="9">
        <f>ROUND(IF(AQ13="1",BH13,0),2)</f>
        <v>0</v>
      </c>
      <c r="AC13" s="9">
        <f>ROUND(IF(AQ13="1",BI13,0),2)</f>
        <v>0</v>
      </c>
      <c r="AD13" s="9">
        <f>ROUND(IF(AQ13="7",BH13,0),2)</f>
        <v>0</v>
      </c>
      <c r="AE13" s="9">
        <f>ROUND(IF(AQ13="7",BI13,0),2)</f>
        <v>0</v>
      </c>
      <c r="AF13" s="9">
        <f>ROUND(IF(AQ13="2",BH13,0),2)</f>
        <v>0</v>
      </c>
      <c r="AG13" s="9">
        <f>ROUND(IF(AQ13="2",BI13,0),2)</f>
        <v>0</v>
      </c>
      <c r="AH13" s="9">
        <f>ROUND(IF(AQ13="0",BJ13,0),2)</f>
        <v>0</v>
      </c>
      <c r="AI13" s="12" t="s">
        <v>236</v>
      </c>
      <c r="AJ13" s="9">
        <f>IF(AN13=0,K13,0)</f>
        <v>0</v>
      </c>
      <c r="AK13" s="9">
        <f>IF(AN13=12,K13,0)</f>
        <v>0</v>
      </c>
      <c r="AL13" s="9">
        <f>IF(AN13=21,K13,0)</f>
        <v>0</v>
      </c>
      <c r="AN13" s="9">
        <v>21</v>
      </c>
      <c r="AO13" s="9">
        <f>H13*0.735965197</f>
        <v>0</v>
      </c>
      <c r="AP13" s="9">
        <f>H13*(1-0.735965197)</f>
        <v>0</v>
      </c>
      <c r="AQ13" s="69" t="s">
        <v>318</v>
      </c>
      <c r="AV13" s="9">
        <f>ROUND(AW13+AX13,2)</f>
        <v>0</v>
      </c>
      <c r="AW13" s="9">
        <f>ROUND(G13*AO13,2)</f>
        <v>0</v>
      </c>
      <c r="AX13" s="9">
        <f>ROUND(G13*AP13,2)</f>
        <v>0</v>
      </c>
      <c r="AY13" s="69" t="s">
        <v>320</v>
      </c>
      <c r="AZ13" s="69" t="s">
        <v>321</v>
      </c>
      <c r="BA13" s="12" t="s">
        <v>322</v>
      </c>
      <c r="BC13" s="9">
        <f>AW13+AX13</f>
        <v>0</v>
      </c>
      <c r="BD13" s="9">
        <f>H13/(100-BE13)*100</f>
        <v>0</v>
      </c>
      <c r="BE13" s="9">
        <v>0</v>
      </c>
      <c r="BF13" s="9">
        <f>M13</f>
        <v>0.59206139999999996</v>
      </c>
      <c r="BH13" s="9">
        <f>G13*AO13</f>
        <v>0</v>
      </c>
      <c r="BI13" s="9">
        <f>G13*AP13</f>
        <v>0</v>
      </c>
      <c r="BJ13" s="9">
        <f>G13*H13</f>
        <v>0</v>
      </c>
      <c r="BK13" s="69" t="s">
        <v>26</v>
      </c>
      <c r="BL13" s="9">
        <v>34</v>
      </c>
      <c r="BW13" s="9">
        <v>21</v>
      </c>
      <c r="BX13" s="3" t="s">
        <v>24</v>
      </c>
    </row>
    <row r="14" spans="1:76" ht="14.6" x14ac:dyDescent="0.4">
      <c r="A14" s="70" t="s">
        <v>236</v>
      </c>
      <c r="B14" s="11" t="s">
        <v>236</v>
      </c>
      <c r="C14" s="11" t="s">
        <v>27</v>
      </c>
      <c r="D14" s="240" t="s">
        <v>28</v>
      </c>
      <c r="E14" s="241"/>
      <c r="F14" s="71" t="s">
        <v>20</v>
      </c>
      <c r="G14" s="71" t="s">
        <v>20</v>
      </c>
      <c r="H14" s="71" t="s">
        <v>20</v>
      </c>
      <c r="I14" s="13">
        <f>ROUND(SUM(I15:I21),0)</f>
        <v>0</v>
      </c>
      <c r="J14" s="13">
        <f>ROUND(SUM(J15:J21),0)</f>
        <v>0</v>
      </c>
      <c r="K14" s="13">
        <f>ROUND(SUM(K15:K21),0)</f>
        <v>0</v>
      </c>
      <c r="L14" s="12" t="s">
        <v>236</v>
      </c>
      <c r="M14" s="13">
        <f>SUM(M15:M21)</f>
        <v>2.0376931000000003</v>
      </c>
      <c r="N14" s="72" t="s">
        <v>236</v>
      </c>
      <c r="AI14" s="12" t="s">
        <v>236</v>
      </c>
      <c r="AS14" s="13">
        <f>SUM(AJ15:AJ21)</f>
        <v>0</v>
      </c>
      <c r="AT14" s="13">
        <f>SUM(AK15:AK21)</f>
        <v>0</v>
      </c>
      <c r="AU14" s="13">
        <f>SUM(AL15:AL21)</f>
        <v>0</v>
      </c>
    </row>
    <row r="15" spans="1:76" ht="14.6" x14ac:dyDescent="0.4">
      <c r="A15" s="1" t="s">
        <v>323</v>
      </c>
      <c r="B15" s="2" t="s">
        <v>236</v>
      </c>
      <c r="C15" s="2" t="s">
        <v>29</v>
      </c>
      <c r="D15" s="184" t="s">
        <v>30</v>
      </c>
      <c r="E15" s="185"/>
      <c r="F15" s="2" t="s">
        <v>25</v>
      </c>
      <c r="G15" s="9">
        <v>18.68</v>
      </c>
      <c r="H15" s="9"/>
      <c r="I15" s="9">
        <f t="shared" ref="I15:I21" si="0">ROUND(G15*AO15,2)</f>
        <v>0</v>
      </c>
      <c r="J15" s="9">
        <f t="shared" ref="J15:J21" si="1">ROUND(G15*AP15,2)</f>
        <v>0</v>
      </c>
      <c r="K15" s="9">
        <f t="shared" ref="K15:K21" si="2">ROUND(G15*H15,0)</f>
        <v>0</v>
      </c>
      <c r="L15" s="9">
        <v>6.2500000000000003E-3</v>
      </c>
      <c r="M15" s="9">
        <f t="shared" ref="M15:M21" si="3">G15*L15</f>
        <v>0.11675000000000001</v>
      </c>
      <c r="N15" s="68" t="s">
        <v>319</v>
      </c>
      <c r="Z15" s="9">
        <f t="shared" ref="Z15:Z21" si="4">ROUND(IF(AQ15="5",BJ15,0),2)</f>
        <v>0</v>
      </c>
      <c r="AB15" s="9">
        <f t="shared" ref="AB15:AB21" si="5">ROUND(IF(AQ15="1",BH15,0),2)</f>
        <v>0</v>
      </c>
      <c r="AC15" s="9">
        <f t="shared" ref="AC15:AC21" si="6">ROUND(IF(AQ15="1",BI15,0),2)</f>
        <v>0</v>
      </c>
      <c r="AD15" s="9">
        <f t="shared" ref="AD15:AD21" si="7">ROUND(IF(AQ15="7",BH15,0),2)</f>
        <v>0</v>
      </c>
      <c r="AE15" s="9">
        <f t="shared" ref="AE15:AE21" si="8">ROUND(IF(AQ15="7",BI15,0),2)</f>
        <v>0</v>
      </c>
      <c r="AF15" s="9">
        <f t="shared" ref="AF15:AF21" si="9">ROUND(IF(AQ15="2",BH15,0),2)</f>
        <v>0</v>
      </c>
      <c r="AG15" s="9">
        <f t="shared" ref="AG15:AG21" si="10">ROUND(IF(AQ15="2",BI15,0),2)</f>
        <v>0</v>
      </c>
      <c r="AH15" s="9">
        <f t="shared" ref="AH15:AH21" si="11">ROUND(IF(AQ15="0",BJ15,0),2)</f>
        <v>0</v>
      </c>
      <c r="AI15" s="12" t="s">
        <v>236</v>
      </c>
      <c r="AJ15" s="9">
        <f t="shared" ref="AJ15:AJ21" si="12">IF(AN15=0,K15,0)</f>
        <v>0</v>
      </c>
      <c r="AK15" s="9">
        <f t="shared" ref="AK15:AK21" si="13">IF(AN15=12,K15,0)</f>
        <v>0</v>
      </c>
      <c r="AL15" s="9">
        <f t="shared" ref="AL15:AL21" si="14">IF(AN15=21,K15,0)</f>
        <v>0</v>
      </c>
      <c r="AN15" s="9">
        <v>21</v>
      </c>
      <c r="AO15" s="9">
        <f>H15*0.388763046</f>
        <v>0</v>
      </c>
      <c r="AP15" s="9">
        <f>H15*(1-0.388763046)</f>
        <v>0</v>
      </c>
      <c r="AQ15" s="69" t="s">
        <v>318</v>
      </c>
      <c r="AV15" s="9">
        <f t="shared" ref="AV15:AV21" si="15">ROUND(AW15+AX15,2)</f>
        <v>0</v>
      </c>
      <c r="AW15" s="9">
        <f t="shared" ref="AW15:AW21" si="16">ROUND(G15*AO15,2)</f>
        <v>0</v>
      </c>
      <c r="AX15" s="9">
        <f t="shared" ref="AX15:AX21" si="17">ROUND(G15*AP15,2)</f>
        <v>0</v>
      </c>
      <c r="AY15" s="69" t="s">
        <v>324</v>
      </c>
      <c r="AZ15" s="69" t="s">
        <v>325</v>
      </c>
      <c r="BA15" s="12" t="s">
        <v>322</v>
      </c>
      <c r="BC15" s="9">
        <f t="shared" ref="BC15:BC21" si="18">AW15+AX15</f>
        <v>0</v>
      </c>
      <c r="BD15" s="9">
        <f t="shared" ref="BD15:BD21" si="19">H15/(100-BE15)*100</f>
        <v>0</v>
      </c>
      <c r="BE15" s="9">
        <v>0</v>
      </c>
      <c r="BF15" s="9">
        <f t="shared" ref="BF15:BF21" si="20">M15</f>
        <v>0.11675000000000001</v>
      </c>
      <c r="BH15" s="9">
        <f t="shared" ref="BH15:BH21" si="21">G15*AO15</f>
        <v>0</v>
      </c>
      <c r="BI15" s="9">
        <f t="shared" ref="BI15:BI21" si="22">G15*AP15</f>
        <v>0</v>
      </c>
      <c r="BJ15" s="9">
        <f t="shared" ref="BJ15:BJ21" si="23">G15*H15</f>
        <v>0</v>
      </c>
      <c r="BK15" s="69" t="s">
        <v>26</v>
      </c>
      <c r="BL15" s="9">
        <v>60</v>
      </c>
      <c r="BW15" s="9">
        <v>21</v>
      </c>
      <c r="BX15" s="3" t="s">
        <v>30</v>
      </c>
    </row>
    <row r="16" spans="1:76" ht="14.6" x14ac:dyDescent="0.4">
      <c r="A16" s="1" t="s">
        <v>326</v>
      </c>
      <c r="B16" s="2" t="s">
        <v>236</v>
      </c>
      <c r="C16" s="2" t="s">
        <v>31</v>
      </c>
      <c r="D16" s="184" t="s">
        <v>32</v>
      </c>
      <c r="E16" s="185"/>
      <c r="F16" s="2" t="s">
        <v>25</v>
      </c>
      <c r="G16" s="9">
        <v>18.68</v>
      </c>
      <c r="H16" s="9"/>
      <c r="I16" s="9">
        <f t="shared" si="0"/>
        <v>0</v>
      </c>
      <c r="J16" s="9">
        <f t="shared" si="1"/>
        <v>0</v>
      </c>
      <c r="K16" s="9">
        <f t="shared" si="2"/>
        <v>0</v>
      </c>
      <c r="L16" s="9">
        <v>3.2300000000000002E-2</v>
      </c>
      <c r="M16" s="9">
        <f t="shared" si="3"/>
        <v>0.60336400000000001</v>
      </c>
      <c r="N16" s="68" t="s">
        <v>319</v>
      </c>
      <c r="Z16" s="9">
        <f t="shared" si="4"/>
        <v>0</v>
      </c>
      <c r="AB16" s="9">
        <f t="shared" si="5"/>
        <v>0</v>
      </c>
      <c r="AC16" s="9">
        <f t="shared" si="6"/>
        <v>0</v>
      </c>
      <c r="AD16" s="9">
        <f t="shared" si="7"/>
        <v>0</v>
      </c>
      <c r="AE16" s="9">
        <f t="shared" si="8"/>
        <v>0</v>
      </c>
      <c r="AF16" s="9">
        <f t="shared" si="9"/>
        <v>0</v>
      </c>
      <c r="AG16" s="9">
        <f t="shared" si="10"/>
        <v>0</v>
      </c>
      <c r="AH16" s="9">
        <f t="shared" si="11"/>
        <v>0</v>
      </c>
      <c r="AI16" s="12" t="s">
        <v>236</v>
      </c>
      <c r="AJ16" s="9">
        <f t="shared" si="12"/>
        <v>0</v>
      </c>
      <c r="AK16" s="9">
        <f t="shared" si="13"/>
        <v>0</v>
      </c>
      <c r="AL16" s="9">
        <f t="shared" si="14"/>
        <v>0</v>
      </c>
      <c r="AN16" s="9">
        <v>21</v>
      </c>
      <c r="AO16" s="9">
        <f>H16*0.353118457</f>
        <v>0</v>
      </c>
      <c r="AP16" s="9">
        <f>H16*(1-0.353118457)</f>
        <v>0</v>
      </c>
      <c r="AQ16" s="69" t="s">
        <v>318</v>
      </c>
      <c r="AV16" s="9">
        <f t="shared" si="15"/>
        <v>0</v>
      </c>
      <c r="AW16" s="9">
        <f t="shared" si="16"/>
        <v>0</v>
      </c>
      <c r="AX16" s="9">
        <f t="shared" si="17"/>
        <v>0</v>
      </c>
      <c r="AY16" s="69" t="s">
        <v>324</v>
      </c>
      <c r="AZ16" s="69" t="s">
        <v>325</v>
      </c>
      <c r="BA16" s="12" t="s">
        <v>322</v>
      </c>
      <c r="BC16" s="9">
        <f t="shared" si="18"/>
        <v>0</v>
      </c>
      <c r="BD16" s="9">
        <f t="shared" si="19"/>
        <v>0</v>
      </c>
      <c r="BE16" s="9">
        <v>0</v>
      </c>
      <c r="BF16" s="9">
        <f t="shared" si="20"/>
        <v>0.60336400000000001</v>
      </c>
      <c r="BH16" s="9">
        <f t="shared" si="21"/>
        <v>0</v>
      </c>
      <c r="BI16" s="9">
        <f t="shared" si="22"/>
        <v>0</v>
      </c>
      <c r="BJ16" s="9">
        <f t="shared" si="23"/>
        <v>0</v>
      </c>
      <c r="BK16" s="69" t="s">
        <v>26</v>
      </c>
      <c r="BL16" s="9">
        <v>60</v>
      </c>
      <c r="BW16" s="9">
        <v>21</v>
      </c>
      <c r="BX16" s="3" t="s">
        <v>32</v>
      </c>
    </row>
    <row r="17" spans="1:76" ht="14.6" x14ac:dyDescent="0.4">
      <c r="A17" s="1" t="s">
        <v>327</v>
      </c>
      <c r="B17" s="2" t="s">
        <v>236</v>
      </c>
      <c r="C17" s="2" t="s">
        <v>33</v>
      </c>
      <c r="D17" s="184" t="s">
        <v>34</v>
      </c>
      <c r="E17" s="185"/>
      <c r="F17" s="2" t="s">
        <v>25</v>
      </c>
      <c r="G17" s="9">
        <v>24.91</v>
      </c>
      <c r="H17" s="9"/>
      <c r="I17" s="9">
        <f t="shared" si="0"/>
        <v>0</v>
      </c>
      <c r="J17" s="9">
        <f t="shared" si="1"/>
        <v>0</v>
      </c>
      <c r="K17" s="9">
        <f t="shared" si="2"/>
        <v>0</v>
      </c>
      <c r="L17" s="9">
        <v>4.0699999999999998E-3</v>
      </c>
      <c r="M17" s="9">
        <f t="shared" si="3"/>
        <v>0.10138369999999999</v>
      </c>
      <c r="N17" s="68" t="s">
        <v>319</v>
      </c>
      <c r="Z17" s="9">
        <f t="shared" si="4"/>
        <v>0</v>
      </c>
      <c r="AB17" s="9">
        <f t="shared" si="5"/>
        <v>0</v>
      </c>
      <c r="AC17" s="9">
        <f t="shared" si="6"/>
        <v>0</v>
      </c>
      <c r="AD17" s="9">
        <f t="shared" si="7"/>
        <v>0</v>
      </c>
      <c r="AE17" s="9">
        <f t="shared" si="8"/>
        <v>0</v>
      </c>
      <c r="AF17" s="9">
        <f t="shared" si="9"/>
        <v>0</v>
      </c>
      <c r="AG17" s="9">
        <f t="shared" si="10"/>
        <v>0</v>
      </c>
      <c r="AH17" s="9">
        <f t="shared" si="11"/>
        <v>0</v>
      </c>
      <c r="AI17" s="12" t="s">
        <v>236</v>
      </c>
      <c r="AJ17" s="9">
        <f t="shared" si="12"/>
        <v>0</v>
      </c>
      <c r="AK17" s="9">
        <f t="shared" si="13"/>
        <v>0</v>
      </c>
      <c r="AL17" s="9">
        <f t="shared" si="14"/>
        <v>0</v>
      </c>
      <c r="AN17" s="9">
        <v>21</v>
      </c>
      <c r="AO17" s="9">
        <f>H17*0.140937708</f>
        <v>0</v>
      </c>
      <c r="AP17" s="9">
        <f>H17*(1-0.140937708)</f>
        <v>0</v>
      </c>
      <c r="AQ17" s="69" t="s">
        <v>318</v>
      </c>
      <c r="AV17" s="9">
        <f t="shared" si="15"/>
        <v>0</v>
      </c>
      <c r="AW17" s="9">
        <f t="shared" si="16"/>
        <v>0</v>
      </c>
      <c r="AX17" s="9">
        <f t="shared" si="17"/>
        <v>0</v>
      </c>
      <c r="AY17" s="69" t="s">
        <v>324</v>
      </c>
      <c r="AZ17" s="69" t="s">
        <v>325</v>
      </c>
      <c r="BA17" s="12" t="s">
        <v>322</v>
      </c>
      <c r="BC17" s="9">
        <f t="shared" si="18"/>
        <v>0</v>
      </c>
      <c r="BD17" s="9">
        <f t="shared" si="19"/>
        <v>0</v>
      </c>
      <c r="BE17" s="9">
        <v>0</v>
      </c>
      <c r="BF17" s="9">
        <f t="shared" si="20"/>
        <v>0.10138369999999999</v>
      </c>
      <c r="BH17" s="9">
        <f t="shared" si="21"/>
        <v>0</v>
      </c>
      <c r="BI17" s="9">
        <f t="shared" si="22"/>
        <v>0</v>
      </c>
      <c r="BJ17" s="9">
        <f t="shared" si="23"/>
        <v>0</v>
      </c>
      <c r="BK17" s="69" t="s">
        <v>26</v>
      </c>
      <c r="BL17" s="9">
        <v>60</v>
      </c>
      <c r="BW17" s="9">
        <v>21</v>
      </c>
      <c r="BX17" s="3" t="s">
        <v>34</v>
      </c>
    </row>
    <row r="18" spans="1:76" ht="14.6" x14ac:dyDescent="0.4">
      <c r="A18" s="1" t="s">
        <v>328</v>
      </c>
      <c r="B18" s="2" t="s">
        <v>236</v>
      </c>
      <c r="C18" s="2" t="s">
        <v>35</v>
      </c>
      <c r="D18" s="184" t="s">
        <v>36</v>
      </c>
      <c r="E18" s="185"/>
      <c r="F18" s="2" t="s">
        <v>25</v>
      </c>
      <c r="G18" s="9">
        <v>1.1399999999999999</v>
      </c>
      <c r="H18" s="9"/>
      <c r="I18" s="9">
        <f t="shared" si="0"/>
        <v>0</v>
      </c>
      <c r="J18" s="9">
        <f t="shared" si="1"/>
        <v>0</v>
      </c>
      <c r="K18" s="9">
        <f t="shared" si="2"/>
        <v>0</v>
      </c>
      <c r="L18" s="9">
        <v>3.5659999999999997E-2</v>
      </c>
      <c r="M18" s="9">
        <f t="shared" si="3"/>
        <v>4.0652399999999991E-2</v>
      </c>
      <c r="N18" s="68" t="s">
        <v>319</v>
      </c>
      <c r="Z18" s="9">
        <f t="shared" si="4"/>
        <v>0</v>
      </c>
      <c r="AB18" s="9">
        <f t="shared" si="5"/>
        <v>0</v>
      </c>
      <c r="AC18" s="9">
        <f t="shared" si="6"/>
        <v>0</v>
      </c>
      <c r="AD18" s="9">
        <f t="shared" si="7"/>
        <v>0</v>
      </c>
      <c r="AE18" s="9">
        <f t="shared" si="8"/>
        <v>0</v>
      </c>
      <c r="AF18" s="9">
        <f t="shared" si="9"/>
        <v>0</v>
      </c>
      <c r="AG18" s="9">
        <f t="shared" si="10"/>
        <v>0</v>
      </c>
      <c r="AH18" s="9">
        <f t="shared" si="11"/>
        <v>0</v>
      </c>
      <c r="AI18" s="12" t="s">
        <v>236</v>
      </c>
      <c r="AJ18" s="9">
        <f t="shared" si="12"/>
        <v>0</v>
      </c>
      <c r="AK18" s="9">
        <f t="shared" si="13"/>
        <v>0</v>
      </c>
      <c r="AL18" s="9">
        <f t="shared" si="14"/>
        <v>0</v>
      </c>
      <c r="AN18" s="9">
        <v>21</v>
      </c>
      <c r="AO18" s="9">
        <f>H18*0.283739591</f>
        <v>0</v>
      </c>
      <c r="AP18" s="9">
        <f>H18*(1-0.283739591)</f>
        <v>0</v>
      </c>
      <c r="AQ18" s="69" t="s">
        <v>318</v>
      </c>
      <c r="AV18" s="9">
        <f t="shared" si="15"/>
        <v>0</v>
      </c>
      <c r="AW18" s="9">
        <f t="shared" si="16"/>
        <v>0</v>
      </c>
      <c r="AX18" s="9">
        <f t="shared" si="17"/>
        <v>0</v>
      </c>
      <c r="AY18" s="69" t="s">
        <v>324</v>
      </c>
      <c r="AZ18" s="69" t="s">
        <v>325</v>
      </c>
      <c r="BA18" s="12" t="s">
        <v>322</v>
      </c>
      <c r="BC18" s="9">
        <f t="shared" si="18"/>
        <v>0</v>
      </c>
      <c r="BD18" s="9">
        <f t="shared" si="19"/>
        <v>0</v>
      </c>
      <c r="BE18" s="9">
        <v>0</v>
      </c>
      <c r="BF18" s="9">
        <f t="shared" si="20"/>
        <v>4.0652399999999991E-2</v>
      </c>
      <c r="BH18" s="9">
        <f t="shared" si="21"/>
        <v>0</v>
      </c>
      <c r="BI18" s="9">
        <f t="shared" si="22"/>
        <v>0</v>
      </c>
      <c r="BJ18" s="9">
        <f t="shared" si="23"/>
        <v>0</v>
      </c>
      <c r="BK18" s="69" t="s">
        <v>26</v>
      </c>
      <c r="BL18" s="9">
        <v>60</v>
      </c>
      <c r="BW18" s="9">
        <v>21</v>
      </c>
      <c r="BX18" s="3" t="s">
        <v>36</v>
      </c>
    </row>
    <row r="19" spans="1:76" ht="14.6" x14ac:dyDescent="0.4">
      <c r="A19" s="1" t="s">
        <v>329</v>
      </c>
      <c r="B19" s="2" t="s">
        <v>236</v>
      </c>
      <c r="C19" s="2" t="s">
        <v>37</v>
      </c>
      <c r="D19" s="184" t="s">
        <v>38</v>
      </c>
      <c r="E19" s="185"/>
      <c r="F19" s="2" t="s">
        <v>25</v>
      </c>
      <c r="G19" s="9">
        <v>28.48</v>
      </c>
      <c r="H19" s="9"/>
      <c r="I19" s="9">
        <f t="shared" si="0"/>
        <v>0</v>
      </c>
      <c r="J19" s="9">
        <f t="shared" si="1"/>
        <v>0</v>
      </c>
      <c r="K19" s="9">
        <f t="shared" si="2"/>
        <v>0</v>
      </c>
      <c r="L19" s="9">
        <v>6.0499999999999998E-3</v>
      </c>
      <c r="M19" s="9">
        <f t="shared" si="3"/>
        <v>0.17230399999999998</v>
      </c>
      <c r="N19" s="68" t="s">
        <v>319</v>
      </c>
      <c r="Z19" s="9">
        <f t="shared" si="4"/>
        <v>0</v>
      </c>
      <c r="AB19" s="9">
        <f t="shared" si="5"/>
        <v>0</v>
      </c>
      <c r="AC19" s="9">
        <f t="shared" si="6"/>
        <v>0</v>
      </c>
      <c r="AD19" s="9">
        <f t="shared" si="7"/>
        <v>0</v>
      </c>
      <c r="AE19" s="9">
        <f t="shared" si="8"/>
        <v>0</v>
      </c>
      <c r="AF19" s="9">
        <f t="shared" si="9"/>
        <v>0</v>
      </c>
      <c r="AG19" s="9">
        <f t="shared" si="10"/>
        <v>0</v>
      </c>
      <c r="AH19" s="9">
        <f t="shared" si="11"/>
        <v>0</v>
      </c>
      <c r="AI19" s="12" t="s">
        <v>236</v>
      </c>
      <c r="AJ19" s="9">
        <f t="shared" si="12"/>
        <v>0</v>
      </c>
      <c r="AK19" s="9">
        <f t="shared" si="13"/>
        <v>0</v>
      </c>
      <c r="AL19" s="9">
        <f t="shared" si="14"/>
        <v>0</v>
      </c>
      <c r="AN19" s="9">
        <v>21</v>
      </c>
      <c r="AO19" s="9">
        <f>H19*0.458963828</f>
        <v>0</v>
      </c>
      <c r="AP19" s="9">
        <f>H19*(1-0.458963828)</f>
        <v>0</v>
      </c>
      <c r="AQ19" s="69" t="s">
        <v>318</v>
      </c>
      <c r="AV19" s="9">
        <f t="shared" si="15"/>
        <v>0</v>
      </c>
      <c r="AW19" s="9">
        <f t="shared" si="16"/>
        <v>0</v>
      </c>
      <c r="AX19" s="9">
        <f t="shared" si="17"/>
        <v>0</v>
      </c>
      <c r="AY19" s="69" t="s">
        <v>324</v>
      </c>
      <c r="AZ19" s="69" t="s">
        <v>325</v>
      </c>
      <c r="BA19" s="12" t="s">
        <v>322</v>
      </c>
      <c r="BC19" s="9">
        <f t="shared" si="18"/>
        <v>0</v>
      </c>
      <c r="BD19" s="9">
        <f t="shared" si="19"/>
        <v>0</v>
      </c>
      <c r="BE19" s="9">
        <v>0</v>
      </c>
      <c r="BF19" s="9">
        <f t="shared" si="20"/>
        <v>0.17230399999999998</v>
      </c>
      <c r="BH19" s="9">
        <f t="shared" si="21"/>
        <v>0</v>
      </c>
      <c r="BI19" s="9">
        <f t="shared" si="22"/>
        <v>0</v>
      </c>
      <c r="BJ19" s="9">
        <f t="shared" si="23"/>
        <v>0</v>
      </c>
      <c r="BK19" s="69" t="s">
        <v>26</v>
      </c>
      <c r="BL19" s="9">
        <v>60</v>
      </c>
      <c r="BW19" s="9">
        <v>21</v>
      </c>
      <c r="BX19" s="3" t="s">
        <v>38</v>
      </c>
    </row>
    <row r="20" spans="1:76" ht="14.6" x14ac:dyDescent="0.4">
      <c r="A20" s="1" t="s">
        <v>330</v>
      </c>
      <c r="B20" s="2" t="s">
        <v>236</v>
      </c>
      <c r="C20" s="2" t="s">
        <v>39</v>
      </c>
      <c r="D20" s="184" t="s">
        <v>40</v>
      </c>
      <c r="E20" s="185"/>
      <c r="F20" s="2" t="s">
        <v>25</v>
      </c>
      <c r="G20" s="9">
        <v>28.48</v>
      </c>
      <c r="H20" s="9"/>
      <c r="I20" s="9">
        <f t="shared" si="0"/>
        <v>0</v>
      </c>
      <c r="J20" s="9">
        <f t="shared" si="1"/>
        <v>0</v>
      </c>
      <c r="K20" s="9">
        <f t="shared" si="2"/>
        <v>0</v>
      </c>
      <c r="L20" s="9">
        <v>3.0550000000000001E-2</v>
      </c>
      <c r="M20" s="9">
        <f t="shared" si="3"/>
        <v>0.87006400000000006</v>
      </c>
      <c r="N20" s="68" t="s">
        <v>319</v>
      </c>
      <c r="Z20" s="9">
        <f t="shared" si="4"/>
        <v>0</v>
      </c>
      <c r="AB20" s="9">
        <f t="shared" si="5"/>
        <v>0</v>
      </c>
      <c r="AC20" s="9">
        <f t="shared" si="6"/>
        <v>0</v>
      </c>
      <c r="AD20" s="9">
        <f t="shared" si="7"/>
        <v>0</v>
      </c>
      <c r="AE20" s="9">
        <f t="shared" si="8"/>
        <v>0</v>
      </c>
      <c r="AF20" s="9">
        <f t="shared" si="9"/>
        <v>0</v>
      </c>
      <c r="AG20" s="9">
        <f t="shared" si="10"/>
        <v>0</v>
      </c>
      <c r="AH20" s="9">
        <f t="shared" si="11"/>
        <v>0</v>
      </c>
      <c r="AI20" s="12" t="s">
        <v>236</v>
      </c>
      <c r="AJ20" s="9">
        <f t="shared" si="12"/>
        <v>0</v>
      </c>
      <c r="AK20" s="9">
        <f t="shared" si="13"/>
        <v>0</v>
      </c>
      <c r="AL20" s="9">
        <f t="shared" si="14"/>
        <v>0</v>
      </c>
      <c r="AN20" s="9">
        <v>21</v>
      </c>
      <c r="AO20" s="9">
        <f>H20*0.393589802</f>
        <v>0</v>
      </c>
      <c r="AP20" s="9">
        <f>H20*(1-0.393589802)</f>
        <v>0</v>
      </c>
      <c r="AQ20" s="69" t="s">
        <v>318</v>
      </c>
      <c r="AV20" s="9">
        <f t="shared" si="15"/>
        <v>0</v>
      </c>
      <c r="AW20" s="9">
        <f t="shared" si="16"/>
        <v>0</v>
      </c>
      <c r="AX20" s="9">
        <f t="shared" si="17"/>
        <v>0</v>
      </c>
      <c r="AY20" s="69" t="s">
        <v>324</v>
      </c>
      <c r="AZ20" s="69" t="s">
        <v>325</v>
      </c>
      <c r="BA20" s="12" t="s">
        <v>322</v>
      </c>
      <c r="BC20" s="9">
        <f t="shared" si="18"/>
        <v>0</v>
      </c>
      <c r="BD20" s="9">
        <f t="shared" si="19"/>
        <v>0</v>
      </c>
      <c r="BE20" s="9">
        <v>0</v>
      </c>
      <c r="BF20" s="9">
        <f t="shared" si="20"/>
        <v>0.87006400000000006</v>
      </c>
      <c r="BH20" s="9">
        <f t="shared" si="21"/>
        <v>0</v>
      </c>
      <c r="BI20" s="9">
        <f t="shared" si="22"/>
        <v>0</v>
      </c>
      <c r="BJ20" s="9">
        <f t="shared" si="23"/>
        <v>0</v>
      </c>
      <c r="BK20" s="69" t="s">
        <v>26</v>
      </c>
      <c r="BL20" s="9">
        <v>60</v>
      </c>
      <c r="BW20" s="9">
        <v>21</v>
      </c>
      <c r="BX20" s="3" t="s">
        <v>40</v>
      </c>
    </row>
    <row r="21" spans="1:76" ht="14.6" x14ac:dyDescent="0.4">
      <c r="A21" s="1" t="s">
        <v>331</v>
      </c>
      <c r="B21" s="2" t="s">
        <v>236</v>
      </c>
      <c r="C21" s="2" t="s">
        <v>41</v>
      </c>
      <c r="D21" s="184" t="s">
        <v>42</v>
      </c>
      <c r="E21" s="185"/>
      <c r="F21" s="2" t="s">
        <v>25</v>
      </c>
      <c r="G21" s="9">
        <v>38.049999999999997</v>
      </c>
      <c r="H21" s="9"/>
      <c r="I21" s="9">
        <f t="shared" si="0"/>
        <v>0</v>
      </c>
      <c r="J21" s="9">
        <f t="shared" si="1"/>
        <v>0</v>
      </c>
      <c r="K21" s="9">
        <f t="shared" si="2"/>
        <v>0</v>
      </c>
      <c r="L21" s="9">
        <v>3.5000000000000001E-3</v>
      </c>
      <c r="M21" s="9">
        <f t="shared" si="3"/>
        <v>0.13317499999999999</v>
      </c>
      <c r="N21" s="68" t="s">
        <v>319</v>
      </c>
      <c r="Z21" s="9">
        <f t="shared" si="4"/>
        <v>0</v>
      </c>
      <c r="AB21" s="9">
        <f t="shared" si="5"/>
        <v>0</v>
      </c>
      <c r="AC21" s="9">
        <f t="shared" si="6"/>
        <v>0</v>
      </c>
      <c r="AD21" s="9">
        <f t="shared" si="7"/>
        <v>0</v>
      </c>
      <c r="AE21" s="9">
        <f t="shared" si="8"/>
        <v>0</v>
      </c>
      <c r="AF21" s="9">
        <f t="shared" si="9"/>
        <v>0</v>
      </c>
      <c r="AG21" s="9">
        <f t="shared" si="10"/>
        <v>0</v>
      </c>
      <c r="AH21" s="9">
        <f t="shared" si="11"/>
        <v>0</v>
      </c>
      <c r="AI21" s="12" t="s">
        <v>236</v>
      </c>
      <c r="AJ21" s="9">
        <f t="shared" si="12"/>
        <v>0</v>
      </c>
      <c r="AK21" s="9">
        <f t="shared" si="13"/>
        <v>0</v>
      </c>
      <c r="AL21" s="9">
        <f t="shared" si="14"/>
        <v>0</v>
      </c>
      <c r="AN21" s="9">
        <v>21</v>
      </c>
      <c r="AO21" s="9">
        <f>H21*0.109481567</f>
        <v>0</v>
      </c>
      <c r="AP21" s="9">
        <f>H21*(1-0.109481567)</f>
        <v>0</v>
      </c>
      <c r="AQ21" s="69" t="s">
        <v>318</v>
      </c>
      <c r="AV21" s="9">
        <f t="shared" si="15"/>
        <v>0</v>
      </c>
      <c r="AW21" s="9">
        <f t="shared" si="16"/>
        <v>0</v>
      </c>
      <c r="AX21" s="9">
        <f t="shared" si="17"/>
        <v>0</v>
      </c>
      <c r="AY21" s="69" t="s">
        <v>324</v>
      </c>
      <c r="AZ21" s="69" t="s">
        <v>325</v>
      </c>
      <c r="BA21" s="12" t="s">
        <v>322</v>
      </c>
      <c r="BC21" s="9">
        <f t="shared" si="18"/>
        <v>0</v>
      </c>
      <c r="BD21" s="9">
        <f t="shared" si="19"/>
        <v>0</v>
      </c>
      <c r="BE21" s="9">
        <v>0</v>
      </c>
      <c r="BF21" s="9">
        <f t="shared" si="20"/>
        <v>0.13317499999999999</v>
      </c>
      <c r="BH21" s="9">
        <f t="shared" si="21"/>
        <v>0</v>
      </c>
      <c r="BI21" s="9">
        <f t="shared" si="22"/>
        <v>0</v>
      </c>
      <c r="BJ21" s="9">
        <f t="shared" si="23"/>
        <v>0</v>
      </c>
      <c r="BK21" s="69" t="s">
        <v>26</v>
      </c>
      <c r="BL21" s="9">
        <v>60</v>
      </c>
      <c r="BW21" s="9">
        <v>21</v>
      </c>
      <c r="BX21" s="3" t="s">
        <v>42</v>
      </c>
    </row>
    <row r="22" spans="1:76" ht="14.6" x14ac:dyDescent="0.4">
      <c r="A22" s="70" t="s">
        <v>236</v>
      </c>
      <c r="B22" s="11" t="s">
        <v>236</v>
      </c>
      <c r="C22" s="11" t="s">
        <v>43</v>
      </c>
      <c r="D22" s="240" t="s">
        <v>44</v>
      </c>
      <c r="E22" s="241"/>
      <c r="F22" s="71" t="s">
        <v>20</v>
      </c>
      <c r="G22" s="71" t="s">
        <v>20</v>
      </c>
      <c r="H22" s="71" t="s">
        <v>20</v>
      </c>
      <c r="I22" s="13">
        <f>ROUND(SUM(I23:I23),0)</f>
        <v>0</v>
      </c>
      <c r="J22" s="13">
        <f>ROUND(SUM(J23:J23),0)</f>
        <v>0</v>
      </c>
      <c r="K22" s="13">
        <f>ROUND(SUM(K23:K23),0)</f>
        <v>0</v>
      </c>
      <c r="L22" s="12" t="s">
        <v>236</v>
      </c>
      <c r="M22" s="13">
        <f>SUM(M23:M23)</f>
        <v>1.7444000000000001E-2</v>
      </c>
      <c r="N22" s="72" t="s">
        <v>236</v>
      </c>
      <c r="AI22" s="12" t="s">
        <v>236</v>
      </c>
      <c r="AS22" s="13">
        <f>SUM(AJ23:AJ23)</f>
        <v>0</v>
      </c>
      <c r="AT22" s="13">
        <f>SUM(AK23:AK23)</f>
        <v>0</v>
      </c>
      <c r="AU22" s="13">
        <f>SUM(AL23:AL23)</f>
        <v>0</v>
      </c>
    </row>
    <row r="23" spans="1:76" ht="14.6" x14ac:dyDescent="0.4">
      <c r="A23" s="1" t="s">
        <v>332</v>
      </c>
      <c r="B23" s="2" t="s">
        <v>236</v>
      </c>
      <c r="C23" s="2" t="s">
        <v>45</v>
      </c>
      <c r="D23" s="184" t="s">
        <v>46</v>
      </c>
      <c r="E23" s="185"/>
      <c r="F23" s="2" t="s">
        <v>25</v>
      </c>
      <c r="G23" s="9">
        <v>0.35</v>
      </c>
      <c r="H23" s="9"/>
      <c r="I23" s="9">
        <f>ROUND(G23*AO23,2)</f>
        <v>0</v>
      </c>
      <c r="J23" s="9">
        <f>ROUND(G23*AP23,2)</f>
        <v>0</v>
      </c>
      <c r="K23" s="9">
        <f>ROUND(G23*H23,0)</f>
        <v>0</v>
      </c>
      <c r="L23" s="9">
        <v>4.9840000000000002E-2</v>
      </c>
      <c r="M23" s="9">
        <f>G23*L23</f>
        <v>1.7444000000000001E-2</v>
      </c>
      <c r="N23" s="68" t="s">
        <v>319</v>
      </c>
      <c r="Z23" s="9">
        <f>ROUND(IF(AQ23="5",BJ23,0),2)</f>
        <v>0</v>
      </c>
      <c r="AB23" s="9">
        <f>ROUND(IF(AQ23="1",BH23,0),2)</f>
        <v>0</v>
      </c>
      <c r="AC23" s="9">
        <f>ROUND(IF(AQ23="1",BI23,0),2)</f>
        <v>0</v>
      </c>
      <c r="AD23" s="9">
        <f>ROUND(IF(AQ23="7",BH23,0),2)</f>
        <v>0</v>
      </c>
      <c r="AE23" s="9">
        <f>ROUND(IF(AQ23="7",BI23,0),2)</f>
        <v>0</v>
      </c>
      <c r="AF23" s="9">
        <f>ROUND(IF(AQ23="2",BH23,0),2)</f>
        <v>0</v>
      </c>
      <c r="AG23" s="9">
        <f>ROUND(IF(AQ23="2",BI23,0),2)</f>
        <v>0</v>
      </c>
      <c r="AH23" s="9">
        <f>ROUND(IF(AQ23="0",BJ23,0),2)</f>
        <v>0</v>
      </c>
      <c r="AI23" s="12" t="s">
        <v>236</v>
      </c>
      <c r="AJ23" s="9">
        <f>IF(AN23=0,K23,0)</f>
        <v>0</v>
      </c>
      <c r="AK23" s="9">
        <f>IF(AN23=12,K23,0)</f>
        <v>0</v>
      </c>
      <c r="AL23" s="9">
        <f>IF(AN23=21,K23,0)</f>
        <v>0</v>
      </c>
      <c r="AN23" s="9">
        <v>21</v>
      </c>
      <c r="AO23" s="9">
        <f>H23*0.225327103</f>
        <v>0</v>
      </c>
      <c r="AP23" s="9">
        <f>H23*(1-0.225327103)</f>
        <v>0</v>
      </c>
      <c r="AQ23" s="69" t="s">
        <v>318</v>
      </c>
      <c r="AV23" s="9">
        <f>ROUND(AW23+AX23,2)</f>
        <v>0</v>
      </c>
      <c r="AW23" s="9">
        <f>ROUND(G23*AO23,2)</f>
        <v>0</v>
      </c>
      <c r="AX23" s="9">
        <f>ROUND(G23*AP23,2)</f>
        <v>0</v>
      </c>
      <c r="AY23" s="69" t="s">
        <v>333</v>
      </c>
      <c r="AZ23" s="69" t="s">
        <v>325</v>
      </c>
      <c r="BA23" s="12" t="s">
        <v>322</v>
      </c>
      <c r="BC23" s="9">
        <f>AW23+AX23</f>
        <v>0</v>
      </c>
      <c r="BD23" s="9">
        <f>H23/(100-BE23)*100</f>
        <v>0</v>
      </c>
      <c r="BE23" s="9">
        <v>0</v>
      </c>
      <c r="BF23" s="9">
        <f>M23</f>
        <v>1.7444000000000001E-2</v>
      </c>
      <c r="BH23" s="9">
        <f>G23*AO23</f>
        <v>0</v>
      </c>
      <c r="BI23" s="9">
        <f>G23*AP23</f>
        <v>0</v>
      </c>
      <c r="BJ23" s="9">
        <f>G23*H23</f>
        <v>0</v>
      </c>
      <c r="BK23" s="69" t="s">
        <v>26</v>
      </c>
      <c r="BL23" s="9">
        <v>63</v>
      </c>
      <c r="BW23" s="9">
        <v>21</v>
      </c>
      <c r="BX23" s="3" t="s">
        <v>46</v>
      </c>
    </row>
    <row r="24" spans="1:76" ht="14.6" x14ac:dyDescent="0.4">
      <c r="A24" s="70" t="s">
        <v>236</v>
      </c>
      <c r="B24" s="11" t="s">
        <v>236</v>
      </c>
      <c r="C24" s="11" t="s">
        <v>47</v>
      </c>
      <c r="D24" s="240" t="s">
        <v>48</v>
      </c>
      <c r="E24" s="241"/>
      <c r="F24" s="71" t="s">
        <v>20</v>
      </c>
      <c r="G24" s="71" t="s">
        <v>20</v>
      </c>
      <c r="H24" s="71" t="s">
        <v>20</v>
      </c>
      <c r="I24" s="13">
        <f>ROUND(SUM(I25:I26),0)</f>
        <v>0</v>
      </c>
      <c r="J24" s="13">
        <f>ROUND(SUM(J25:J26),0)</f>
        <v>0</v>
      </c>
      <c r="K24" s="13">
        <f>ROUND(SUM(K25:K26),0)</f>
        <v>0</v>
      </c>
      <c r="L24" s="12" t="s">
        <v>236</v>
      </c>
      <c r="M24" s="13">
        <f>SUM(M25:M26)</f>
        <v>5.6719999999999993E-2</v>
      </c>
      <c r="N24" s="72" t="s">
        <v>236</v>
      </c>
      <c r="AI24" s="12" t="s">
        <v>236</v>
      </c>
      <c r="AS24" s="13">
        <f>SUM(AJ25:AJ26)</f>
        <v>0</v>
      </c>
      <c r="AT24" s="13">
        <f>SUM(AK25:AK26)</f>
        <v>0</v>
      </c>
      <c r="AU24" s="13">
        <f>SUM(AL25:AL26)</f>
        <v>0</v>
      </c>
    </row>
    <row r="25" spans="1:76" ht="14.6" x14ac:dyDescent="0.4">
      <c r="A25" s="1" t="s">
        <v>334</v>
      </c>
      <c r="B25" s="2" t="s">
        <v>236</v>
      </c>
      <c r="C25" s="2" t="s">
        <v>49</v>
      </c>
      <c r="D25" s="184" t="s">
        <v>50</v>
      </c>
      <c r="E25" s="185"/>
      <c r="F25" s="2" t="s">
        <v>51</v>
      </c>
      <c r="G25" s="9">
        <v>1</v>
      </c>
      <c r="H25" s="9"/>
      <c r="I25" s="9">
        <f>ROUND(G25*AO25,2)</f>
        <v>0</v>
      </c>
      <c r="J25" s="9">
        <f>ROUND(G25*AP25,2)</f>
        <v>0</v>
      </c>
      <c r="K25" s="9">
        <f>ROUND(G25*H25,0)</f>
        <v>0</v>
      </c>
      <c r="L25" s="9">
        <v>3.7719999999999997E-2</v>
      </c>
      <c r="M25" s="9">
        <f>G25*L25</f>
        <v>3.7719999999999997E-2</v>
      </c>
      <c r="N25" s="68" t="s">
        <v>319</v>
      </c>
      <c r="Z25" s="9">
        <f>ROUND(IF(AQ25="5",BJ25,0),2)</f>
        <v>0</v>
      </c>
      <c r="AB25" s="9">
        <f>ROUND(IF(AQ25="1",BH25,0),2)</f>
        <v>0</v>
      </c>
      <c r="AC25" s="9">
        <f>ROUND(IF(AQ25="1",BI25,0),2)</f>
        <v>0</v>
      </c>
      <c r="AD25" s="9">
        <f>ROUND(IF(AQ25="7",BH25,0),2)</f>
        <v>0</v>
      </c>
      <c r="AE25" s="9">
        <f>ROUND(IF(AQ25="7",BI25,0),2)</f>
        <v>0</v>
      </c>
      <c r="AF25" s="9">
        <f>ROUND(IF(AQ25="2",BH25,0),2)</f>
        <v>0</v>
      </c>
      <c r="AG25" s="9">
        <f>ROUND(IF(AQ25="2",BI25,0),2)</f>
        <v>0</v>
      </c>
      <c r="AH25" s="9">
        <f>ROUND(IF(AQ25="0",BJ25,0),2)</f>
        <v>0</v>
      </c>
      <c r="AI25" s="12" t="s">
        <v>236</v>
      </c>
      <c r="AJ25" s="9">
        <f>IF(AN25=0,K25,0)</f>
        <v>0</v>
      </c>
      <c r="AK25" s="9">
        <f>IF(AN25=12,K25,0)</f>
        <v>0</v>
      </c>
      <c r="AL25" s="9">
        <f>IF(AN25=21,K25,0)</f>
        <v>0</v>
      </c>
      <c r="AN25" s="9">
        <v>21</v>
      </c>
      <c r="AO25" s="9">
        <f>H25*0.030071895</f>
        <v>0</v>
      </c>
      <c r="AP25" s="9">
        <f>H25*(1-0.030071895)</f>
        <v>0</v>
      </c>
      <c r="AQ25" s="69" t="s">
        <v>318</v>
      </c>
      <c r="AV25" s="9">
        <f>ROUND(AW25+AX25,2)</f>
        <v>0</v>
      </c>
      <c r="AW25" s="9">
        <f>ROUND(G25*AO25,2)</f>
        <v>0</v>
      </c>
      <c r="AX25" s="9">
        <f>ROUND(G25*AP25,2)</f>
        <v>0</v>
      </c>
      <c r="AY25" s="69" t="s">
        <v>335</v>
      </c>
      <c r="AZ25" s="69" t="s">
        <v>325</v>
      </c>
      <c r="BA25" s="12" t="s">
        <v>322</v>
      </c>
      <c r="BC25" s="9">
        <f>AW25+AX25</f>
        <v>0</v>
      </c>
      <c r="BD25" s="9">
        <f>H25/(100-BE25)*100</f>
        <v>0</v>
      </c>
      <c r="BE25" s="9">
        <v>0</v>
      </c>
      <c r="BF25" s="9">
        <f>M25</f>
        <v>3.7719999999999997E-2</v>
      </c>
      <c r="BH25" s="9">
        <f>G25*AO25</f>
        <v>0</v>
      </c>
      <c r="BI25" s="9">
        <f>G25*AP25</f>
        <v>0</v>
      </c>
      <c r="BJ25" s="9">
        <f>G25*H25</f>
        <v>0</v>
      </c>
      <c r="BK25" s="69" t="s">
        <v>26</v>
      </c>
      <c r="BL25" s="9">
        <v>64</v>
      </c>
      <c r="BW25" s="9">
        <v>21</v>
      </c>
      <c r="BX25" s="3" t="s">
        <v>50</v>
      </c>
    </row>
    <row r="26" spans="1:76" ht="14.6" x14ac:dyDescent="0.4">
      <c r="A26" s="1" t="s">
        <v>336</v>
      </c>
      <c r="B26" s="2" t="s">
        <v>236</v>
      </c>
      <c r="C26" s="2" t="s">
        <v>52</v>
      </c>
      <c r="D26" s="184" t="s">
        <v>478</v>
      </c>
      <c r="E26" s="185"/>
      <c r="F26" s="2" t="s">
        <v>51</v>
      </c>
      <c r="G26" s="9">
        <v>1</v>
      </c>
      <c r="H26" s="9"/>
      <c r="I26" s="9">
        <f>ROUND(G26*AO26,2)</f>
        <v>0</v>
      </c>
      <c r="J26" s="9">
        <f>ROUND(G26*AP26,2)</f>
        <v>0</v>
      </c>
      <c r="K26" s="9">
        <f>ROUND(G26*H26,0)</f>
        <v>0</v>
      </c>
      <c r="L26" s="9">
        <v>1.9E-2</v>
      </c>
      <c r="M26" s="9">
        <f>G26*L26</f>
        <v>1.9E-2</v>
      </c>
      <c r="N26" s="68" t="s">
        <v>319</v>
      </c>
      <c r="Z26" s="9">
        <f>ROUND(IF(AQ26="5",BJ26,0),2)</f>
        <v>0</v>
      </c>
      <c r="AB26" s="9">
        <f>ROUND(IF(AQ26="1",BH26,0),2)</f>
        <v>0</v>
      </c>
      <c r="AC26" s="9">
        <f>ROUND(IF(AQ26="1",BI26,0),2)</f>
        <v>0</v>
      </c>
      <c r="AD26" s="9">
        <f>ROUND(IF(AQ26="7",BH26,0),2)</f>
        <v>0</v>
      </c>
      <c r="AE26" s="9">
        <f>ROUND(IF(AQ26="7",BI26,0),2)</f>
        <v>0</v>
      </c>
      <c r="AF26" s="9">
        <f>ROUND(IF(AQ26="2",BH26,0),2)</f>
        <v>0</v>
      </c>
      <c r="AG26" s="9">
        <f>ROUND(IF(AQ26="2",BI26,0),2)</f>
        <v>0</v>
      </c>
      <c r="AH26" s="9">
        <f>ROUND(IF(AQ26="0",BJ26,0),2)</f>
        <v>0</v>
      </c>
      <c r="AI26" s="12" t="s">
        <v>236</v>
      </c>
      <c r="AJ26" s="9">
        <f>IF(AN26=0,K26,0)</f>
        <v>0</v>
      </c>
      <c r="AK26" s="9">
        <f>IF(AN26=12,K26,0)</f>
        <v>0</v>
      </c>
      <c r="AL26" s="9">
        <f>IF(AN26=21,K26,0)</f>
        <v>0</v>
      </c>
      <c r="AN26" s="9">
        <v>21</v>
      </c>
      <c r="AO26" s="9">
        <f>H26*1</f>
        <v>0</v>
      </c>
      <c r="AP26" s="9">
        <f>H26*(1-1)</f>
        <v>0</v>
      </c>
      <c r="AQ26" s="69" t="s">
        <v>318</v>
      </c>
      <c r="AV26" s="9">
        <f>ROUND(AW26+AX26,2)</f>
        <v>0</v>
      </c>
      <c r="AW26" s="9">
        <f>ROUND(G26*AO26,2)</f>
        <v>0</v>
      </c>
      <c r="AX26" s="9">
        <f>ROUND(G26*AP26,2)</f>
        <v>0</v>
      </c>
      <c r="AY26" s="69" t="s">
        <v>335</v>
      </c>
      <c r="AZ26" s="69" t="s">
        <v>325</v>
      </c>
      <c r="BA26" s="12" t="s">
        <v>322</v>
      </c>
      <c r="BC26" s="9">
        <f>AW26+AX26</f>
        <v>0</v>
      </c>
      <c r="BD26" s="9">
        <f>H26/(100-BE26)*100</f>
        <v>0</v>
      </c>
      <c r="BE26" s="9">
        <v>0</v>
      </c>
      <c r="BF26" s="9">
        <f>M26</f>
        <v>1.9E-2</v>
      </c>
      <c r="BH26" s="9">
        <f>G26*AO26</f>
        <v>0</v>
      </c>
      <c r="BI26" s="9">
        <f>G26*AP26</f>
        <v>0</v>
      </c>
      <c r="BJ26" s="9">
        <f>G26*H26</f>
        <v>0</v>
      </c>
      <c r="BK26" s="69" t="s">
        <v>54</v>
      </c>
      <c r="BL26" s="9">
        <v>64</v>
      </c>
      <c r="BW26" s="9">
        <v>21</v>
      </c>
      <c r="BX26" s="3" t="s">
        <v>53</v>
      </c>
    </row>
    <row r="27" spans="1:76" ht="14.6" x14ac:dyDescent="0.4">
      <c r="A27" s="70" t="s">
        <v>236</v>
      </c>
      <c r="B27" s="11" t="s">
        <v>236</v>
      </c>
      <c r="C27" s="11" t="s">
        <v>55</v>
      </c>
      <c r="D27" s="240" t="s">
        <v>56</v>
      </c>
      <c r="E27" s="241"/>
      <c r="F27" s="71" t="s">
        <v>20</v>
      </c>
      <c r="G27" s="71" t="s">
        <v>20</v>
      </c>
      <c r="H27" s="71" t="s">
        <v>20</v>
      </c>
      <c r="I27" s="13">
        <f>ROUND(SUM(I28:I34),0)</f>
        <v>0</v>
      </c>
      <c r="J27" s="13">
        <f>ROUND(SUM(J28:J34),0)</f>
        <v>0</v>
      </c>
      <c r="K27" s="13">
        <f>ROUND(SUM(K28:K34),0)</f>
        <v>0</v>
      </c>
      <c r="L27" s="12" t="s">
        <v>236</v>
      </c>
      <c r="M27" s="13">
        <f>SUM(M28:M34)</f>
        <v>4.4427399999999999E-2</v>
      </c>
      <c r="N27" s="72" t="s">
        <v>236</v>
      </c>
      <c r="AI27" s="12" t="s">
        <v>236</v>
      </c>
      <c r="AS27" s="13">
        <f>SUM(AJ28:AJ34)</f>
        <v>0</v>
      </c>
      <c r="AT27" s="13">
        <f>SUM(AK28:AK34)</f>
        <v>0</v>
      </c>
      <c r="AU27" s="13">
        <f>SUM(AL28:AL34)</f>
        <v>0</v>
      </c>
    </row>
    <row r="28" spans="1:76" ht="14.6" x14ac:dyDescent="0.4">
      <c r="A28" s="1">
        <v>12</v>
      </c>
      <c r="B28" s="2" t="s">
        <v>236</v>
      </c>
      <c r="C28" s="2" t="s">
        <v>58</v>
      </c>
      <c r="D28" s="184" t="s">
        <v>59</v>
      </c>
      <c r="E28" s="185"/>
      <c r="F28" s="2" t="s">
        <v>51</v>
      </c>
      <c r="G28" s="9">
        <v>1</v>
      </c>
      <c r="H28" s="9"/>
      <c r="I28" s="9">
        <f t="shared" ref="I28:I34" si="24">ROUND(G28*AO28,2)</f>
        <v>0</v>
      </c>
      <c r="J28" s="9">
        <f t="shared" ref="J28:J34" si="25">ROUND(G28*AP28,2)</f>
        <v>0</v>
      </c>
      <c r="K28" s="9">
        <f t="shared" ref="K28:K34" si="26">ROUND(G28*H28,0)</f>
        <v>0</v>
      </c>
      <c r="L28" s="9">
        <v>0</v>
      </c>
      <c r="M28" s="9">
        <f t="shared" ref="M28:M34" si="27">G28*L28</f>
        <v>0</v>
      </c>
      <c r="N28" s="68" t="s">
        <v>319</v>
      </c>
      <c r="Z28" s="9">
        <f t="shared" ref="Z28:Z34" si="28">ROUND(IF(AQ28="5",BJ28,0),2)</f>
        <v>0</v>
      </c>
      <c r="AB28" s="9">
        <f t="shared" ref="AB28:AB34" si="29">ROUND(IF(AQ28="1",BH28,0),2)</f>
        <v>0</v>
      </c>
      <c r="AC28" s="9">
        <f t="shared" ref="AC28:AC34" si="30">ROUND(IF(AQ28="1",BI28,0),2)</f>
        <v>0</v>
      </c>
      <c r="AD28" s="9">
        <f t="shared" ref="AD28:AD34" si="31">ROUND(IF(AQ28="7",BH28,0),2)</f>
        <v>0</v>
      </c>
      <c r="AE28" s="9">
        <f t="shared" ref="AE28:AE34" si="32">ROUND(IF(AQ28="7",BI28,0),2)</f>
        <v>0</v>
      </c>
      <c r="AF28" s="9">
        <f t="shared" ref="AF28:AF34" si="33">ROUND(IF(AQ28="2",BH28,0),2)</f>
        <v>0</v>
      </c>
      <c r="AG28" s="9">
        <f t="shared" ref="AG28:AG34" si="34">ROUND(IF(AQ28="2",BI28,0),2)</f>
        <v>0</v>
      </c>
      <c r="AH28" s="9">
        <f t="shared" ref="AH28:AH34" si="35">ROUND(IF(AQ28="0",BJ28,0),2)</f>
        <v>0</v>
      </c>
      <c r="AI28" s="12" t="s">
        <v>236</v>
      </c>
      <c r="AJ28" s="9">
        <f t="shared" ref="AJ28:AJ34" si="36">IF(AN28=0,K28,0)</f>
        <v>0</v>
      </c>
      <c r="AK28" s="9">
        <f t="shared" ref="AK28:AK34" si="37">IF(AN28=12,K28,0)</f>
        <v>0</v>
      </c>
      <c r="AL28" s="9">
        <f t="shared" ref="AL28:AL34" si="38">IF(AN28=21,K28,0)</f>
        <v>0</v>
      </c>
      <c r="AN28" s="9">
        <v>21</v>
      </c>
      <c r="AO28" s="9">
        <f>H28*0</f>
        <v>0</v>
      </c>
      <c r="AP28" s="9">
        <f>H28*(1-0)</f>
        <v>0</v>
      </c>
      <c r="AQ28" s="69" t="s">
        <v>330</v>
      </c>
      <c r="AV28" s="9">
        <f t="shared" ref="AV28:AV34" si="39">ROUND(AW28+AX28,2)</f>
        <v>0</v>
      </c>
      <c r="AW28" s="9">
        <f t="shared" ref="AW28:AW34" si="40">ROUND(G28*AO28,2)</f>
        <v>0</v>
      </c>
      <c r="AX28" s="9">
        <f t="shared" ref="AX28:AX34" si="41">ROUND(G28*AP28,2)</f>
        <v>0</v>
      </c>
      <c r="AY28" s="69" t="s">
        <v>337</v>
      </c>
      <c r="AZ28" s="69" t="s">
        <v>338</v>
      </c>
      <c r="BA28" s="12" t="s">
        <v>322</v>
      </c>
      <c r="BC28" s="9">
        <f t="shared" ref="BC28:BC34" si="42">AW28+AX28</f>
        <v>0</v>
      </c>
      <c r="BD28" s="9">
        <f t="shared" ref="BD28:BD34" si="43">H28/(100-BE28)*100</f>
        <v>0</v>
      </c>
      <c r="BE28" s="9">
        <v>0</v>
      </c>
      <c r="BF28" s="9">
        <f t="shared" ref="BF28:BF34" si="44">M28</f>
        <v>0</v>
      </c>
      <c r="BH28" s="9">
        <f t="shared" ref="BH28:BH34" si="45">G28*AO28</f>
        <v>0</v>
      </c>
      <c r="BI28" s="9">
        <f t="shared" ref="BI28:BI34" si="46">G28*AP28</f>
        <v>0</v>
      </c>
      <c r="BJ28" s="9">
        <f t="shared" ref="BJ28:BJ34" si="47">G28*H28</f>
        <v>0</v>
      </c>
      <c r="BK28" s="69" t="s">
        <v>26</v>
      </c>
      <c r="BL28" s="9">
        <v>766</v>
      </c>
      <c r="BW28" s="9">
        <v>21</v>
      </c>
      <c r="BX28" s="3" t="s">
        <v>57</v>
      </c>
    </row>
    <row r="29" spans="1:76" ht="14.6" x14ac:dyDescent="0.4">
      <c r="A29" s="1">
        <v>13</v>
      </c>
      <c r="B29" s="2" t="s">
        <v>236</v>
      </c>
      <c r="C29" s="2" t="s">
        <v>60</v>
      </c>
      <c r="D29" s="184" t="s">
        <v>61</v>
      </c>
      <c r="E29" s="185"/>
      <c r="F29" s="2" t="s">
        <v>51</v>
      </c>
      <c r="G29" s="9">
        <v>1</v>
      </c>
      <c r="H29" s="9"/>
      <c r="I29" s="9">
        <f t="shared" si="24"/>
        <v>0</v>
      </c>
      <c r="J29" s="9">
        <f t="shared" si="25"/>
        <v>0</v>
      </c>
      <c r="K29" s="9">
        <f t="shared" si="26"/>
        <v>0</v>
      </c>
      <c r="L29" s="9">
        <v>3.7999999999999999E-2</v>
      </c>
      <c r="M29" s="9">
        <f t="shared" si="27"/>
        <v>3.7999999999999999E-2</v>
      </c>
      <c r="N29" s="68" t="s">
        <v>319</v>
      </c>
      <c r="Z29" s="9">
        <f t="shared" si="28"/>
        <v>0</v>
      </c>
      <c r="AB29" s="9">
        <f t="shared" si="29"/>
        <v>0</v>
      </c>
      <c r="AC29" s="9">
        <f t="shared" si="30"/>
        <v>0</v>
      </c>
      <c r="AD29" s="9">
        <f t="shared" si="31"/>
        <v>0</v>
      </c>
      <c r="AE29" s="9">
        <f t="shared" si="32"/>
        <v>0</v>
      </c>
      <c r="AF29" s="9">
        <f t="shared" si="33"/>
        <v>0</v>
      </c>
      <c r="AG29" s="9">
        <f t="shared" si="34"/>
        <v>0</v>
      </c>
      <c r="AH29" s="9">
        <f t="shared" si="35"/>
        <v>0</v>
      </c>
      <c r="AI29" s="12" t="s">
        <v>236</v>
      </c>
      <c r="AJ29" s="9">
        <f t="shared" si="36"/>
        <v>0</v>
      </c>
      <c r="AK29" s="9">
        <f t="shared" si="37"/>
        <v>0</v>
      </c>
      <c r="AL29" s="9">
        <f t="shared" si="38"/>
        <v>0</v>
      </c>
      <c r="AN29" s="9">
        <v>21</v>
      </c>
      <c r="AO29" s="9">
        <f>H29*1</f>
        <v>0</v>
      </c>
      <c r="AP29" s="9">
        <f>H29*(1-1)</f>
        <v>0</v>
      </c>
      <c r="AQ29" s="69" t="s">
        <v>330</v>
      </c>
      <c r="AV29" s="9">
        <f t="shared" si="39"/>
        <v>0</v>
      </c>
      <c r="AW29" s="9">
        <f t="shared" si="40"/>
        <v>0</v>
      </c>
      <c r="AX29" s="9">
        <f t="shared" si="41"/>
        <v>0</v>
      </c>
      <c r="AY29" s="69" t="s">
        <v>337</v>
      </c>
      <c r="AZ29" s="69" t="s">
        <v>338</v>
      </c>
      <c r="BA29" s="12" t="s">
        <v>322</v>
      </c>
      <c r="BC29" s="9">
        <f t="shared" si="42"/>
        <v>0</v>
      </c>
      <c r="BD29" s="9">
        <f t="shared" si="43"/>
        <v>0</v>
      </c>
      <c r="BE29" s="9">
        <v>0</v>
      </c>
      <c r="BF29" s="9">
        <f t="shared" si="44"/>
        <v>3.7999999999999999E-2</v>
      </c>
      <c r="BH29" s="9">
        <f t="shared" si="45"/>
        <v>0</v>
      </c>
      <c r="BI29" s="9">
        <f t="shared" si="46"/>
        <v>0</v>
      </c>
      <c r="BJ29" s="9">
        <f t="shared" si="47"/>
        <v>0</v>
      </c>
      <c r="BK29" s="69" t="s">
        <v>54</v>
      </c>
      <c r="BL29" s="9">
        <v>766</v>
      </c>
      <c r="BW29" s="9">
        <v>21</v>
      </c>
      <c r="BX29" s="3" t="s">
        <v>59</v>
      </c>
    </row>
    <row r="30" spans="1:76" ht="14.6" x14ac:dyDescent="0.4">
      <c r="A30" s="1">
        <v>14</v>
      </c>
      <c r="B30" s="2" t="s">
        <v>236</v>
      </c>
      <c r="C30" s="2" t="s">
        <v>62</v>
      </c>
      <c r="D30" s="184" t="s">
        <v>63</v>
      </c>
      <c r="E30" s="185"/>
      <c r="F30" s="2" t="s">
        <v>51</v>
      </c>
      <c r="G30" s="9">
        <v>1</v>
      </c>
      <c r="H30" s="9"/>
      <c r="I30" s="9">
        <f t="shared" si="24"/>
        <v>0</v>
      </c>
      <c r="J30" s="9">
        <f t="shared" si="25"/>
        <v>0</v>
      </c>
      <c r="K30" s="9">
        <f t="shared" si="26"/>
        <v>0</v>
      </c>
      <c r="L30" s="9">
        <v>0</v>
      </c>
      <c r="M30" s="9">
        <f t="shared" si="27"/>
        <v>0</v>
      </c>
      <c r="N30" s="68" t="s">
        <v>319</v>
      </c>
      <c r="Z30" s="9">
        <f t="shared" si="28"/>
        <v>0</v>
      </c>
      <c r="AB30" s="9">
        <f t="shared" si="29"/>
        <v>0</v>
      </c>
      <c r="AC30" s="9">
        <f t="shared" si="30"/>
        <v>0</v>
      </c>
      <c r="AD30" s="9">
        <f t="shared" si="31"/>
        <v>0</v>
      </c>
      <c r="AE30" s="9">
        <f t="shared" si="32"/>
        <v>0</v>
      </c>
      <c r="AF30" s="9">
        <f t="shared" si="33"/>
        <v>0</v>
      </c>
      <c r="AG30" s="9">
        <f t="shared" si="34"/>
        <v>0</v>
      </c>
      <c r="AH30" s="9">
        <f t="shared" si="35"/>
        <v>0</v>
      </c>
      <c r="AI30" s="12" t="s">
        <v>236</v>
      </c>
      <c r="AJ30" s="9">
        <f t="shared" si="36"/>
        <v>0</v>
      </c>
      <c r="AK30" s="9">
        <f t="shared" si="37"/>
        <v>0</v>
      </c>
      <c r="AL30" s="9">
        <f t="shared" si="38"/>
        <v>0</v>
      </c>
      <c r="AN30" s="9">
        <v>21</v>
      </c>
      <c r="AO30" s="9">
        <f>H30*0</f>
        <v>0</v>
      </c>
      <c r="AP30" s="9">
        <f>H30*(1-0)</f>
        <v>0</v>
      </c>
      <c r="AQ30" s="69" t="s">
        <v>330</v>
      </c>
      <c r="AV30" s="9">
        <f t="shared" si="39"/>
        <v>0</v>
      </c>
      <c r="AW30" s="9">
        <f t="shared" si="40"/>
        <v>0</v>
      </c>
      <c r="AX30" s="9">
        <f t="shared" si="41"/>
        <v>0</v>
      </c>
      <c r="AY30" s="69" t="s">
        <v>337</v>
      </c>
      <c r="AZ30" s="69" t="s">
        <v>338</v>
      </c>
      <c r="BA30" s="12" t="s">
        <v>322</v>
      </c>
      <c r="BC30" s="9">
        <f t="shared" si="42"/>
        <v>0</v>
      </c>
      <c r="BD30" s="9">
        <f t="shared" si="43"/>
        <v>0</v>
      </c>
      <c r="BE30" s="9">
        <v>0</v>
      </c>
      <c r="BF30" s="9">
        <f t="shared" si="44"/>
        <v>0</v>
      </c>
      <c r="BH30" s="9">
        <f t="shared" si="45"/>
        <v>0</v>
      </c>
      <c r="BI30" s="9">
        <f t="shared" si="46"/>
        <v>0</v>
      </c>
      <c r="BJ30" s="9">
        <f t="shared" si="47"/>
        <v>0</v>
      </c>
      <c r="BK30" s="69" t="s">
        <v>26</v>
      </c>
      <c r="BL30" s="9">
        <v>766</v>
      </c>
      <c r="BW30" s="9">
        <v>21</v>
      </c>
      <c r="BX30" s="3" t="s">
        <v>61</v>
      </c>
    </row>
    <row r="31" spans="1:76" ht="14.6" x14ac:dyDescent="0.4">
      <c r="A31" s="1">
        <v>15</v>
      </c>
      <c r="B31" s="2" t="s">
        <v>236</v>
      </c>
      <c r="C31" s="2" t="s">
        <v>64</v>
      </c>
      <c r="D31" s="184" t="s">
        <v>65</v>
      </c>
      <c r="E31" s="185"/>
      <c r="F31" s="2" t="s">
        <v>51</v>
      </c>
      <c r="G31" s="9">
        <v>1</v>
      </c>
      <c r="H31" s="9"/>
      <c r="I31" s="9">
        <f t="shared" si="24"/>
        <v>0</v>
      </c>
      <c r="J31" s="9">
        <f t="shared" si="25"/>
        <v>0</v>
      </c>
      <c r="K31" s="9">
        <f t="shared" si="26"/>
        <v>0</v>
      </c>
      <c r="L31" s="9">
        <v>8.0000000000000004E-4</v>
      </c>
      <c r="M31" s="9">
        <f t="shared" si="27"/>
        <v>8.0000000000000004E-4</v>
      </c>
      <c r="N31" s="68" t="s">
        <v>319</v>
      </c>
      <c r="Z31" s="9">
        <f t="shared" si="28"/>
        <v>0</v>
      </c>
      <c r="AB31" s="9">
        <f t="shared" si="29"/>
        <v>0</v>
      </c>
      <c r="AC31" s="9">
        <f t="shared" si="30"/>
        <v>0</v>
      </c>
      <c r="AD31" s="9">
        <f t="shared" si="31"/>
        <v>0</v>
      </c>
      <c r="AE31" s="9">
        <f t="shared" si="32"/>
        <v>0</v>
      </c>
      <c r="AF31" s="9">
        <f t="shared" si="33"/>
        <v>0</v>
      </c>
      <c r="AG31" s="9">
        <f t="shared" si="34"/>
        <v>0</v>
      </c>
      <c r="AH31" s="9">
        <f t="shared" si="35"/>
        <v>0</v>
      </c>
      <c r="AI31" s="12" t="s">
        <v>236</v>
      </c>
      <c r="AJ31" s="9">
        <f t="shared" si="36"/>
        <v>0</v>
      </c>
      <c r="AK31" s="9">
        <f t="shared" si="37"/>
        <v>0</v>
      </c>
      <c r="AL31" s="9">
        <f t="shared" si="38"/>
        <v>0</v>
      </c>
      <c r="AN31" s="9">
        <v>21</v>
      </c>
      <c r="AO31" s="9">
        <f>H31*1</f>
        <v>0</v>
      </c>
      <c r="AP31" s="9">
        <f>H31*(1-1)</f>
        <v>0</v>
      </c>
      <c r="AQ31" s="69" t="s">
        <v>330</v>
      </c>
      <c r="AV31" s="9">
        <f t="shared" si="39"/>
        <v>0</v>
      </c>
      <c r="AW31" s="9">
        <f t="shared" si="40"/>
        <v>0</v>
      </c>
      <c r="AX31" s="9">
        <f t="shared" si="41"/>
        <v>0</v>
      </c>
      <c r="AY31" s="69" t="s">
        <v>337</v>
      </c>
      <c r="AZ31" s="69" t="s">
        <v>338</v>
      </c>
      <c r="BA31" s="12" t="s">
        <v>322</v>
      </c>
      <c r="BC31" s="9">
        <f t="shared" si="42"/>
        <v>0</v>
      </c>
      <c r="BD31" s="9">
        <f t="shared" si="43"/>
        <v>0</v>
      </c>
      <c r="BE31" s="9">
        <v>0</v>
      </c>
      <c r="BF31" s="9">
        <f t="shared" si="44"/>
        <v>8.0000000000000004E-4</v>
      </c>
      <c r="BH31" s="9">
        <f t="shared" si="45"/>
        <v>0</v>
      </c>
      <c r="BI31" s="9">
        <f t="shared" si="46"/>
        <v>0</v>
      </c>
      <c r="BJ31" s="9">
        <f t="shared" si="47"/>
        <v>0</v>
      </c>
      <c r="BK31" s="69" t="s">
        <v>54</v>
      </c>
      <c r="BL31" s="9">
        <v>766</v>
      </c>
      <c r="BW31" s="9">
        <v>21</v>
      </c>
      <c r="BX31" s="3" t="s">
        <v>63</v>
      </c>
    </row>
    <row r="32" spans="1:76" ht="14.6" x14ac:dyDescent="0.4">
      <c r="A32" s="1">
        <v>16</v>
      </c>
      <c r="B32" s="2" t="s">
        <v>236</v>
      </c>
      <c r="C32" s="2" t="s">
        <v>66</v>
      </c>
      <c r="D32" s="184" t="s">
        <v>67</v>
      </c>
      <c r="E32" s="185"/>
      <c r="F32" s="2" t="s">
        <v>68</v>
      </c>
      <c r="G32" s="9">
        <v>2.2599999999999998</v>
      </c>
      <c r="H32" s="9"/>
      <c r="I32" s="9">
        <f t="shared" si="24"/>
        <v>0</v>
      </c>
      <c r="J32" s="9">
        <f t="shared" si="25"/>
        <v>0</v>
      </c>
      <c r="K32" s="9">
        <f>ROUND(G32*H32,0)</f>
        <v>0</v>
      </c>
      <c r="L32" s="9">
        <v>2.49E-3</v>
      </c>
      <c r="M32" s="9">
        <f t="shared" si="27"/>
        <v>5.6273999999999994E-3</v>
      </c>
      <c r="N32" s="68" t="s">
        <v>319</v>
      </c>
      <c r="Z32" s="9">
        <f t="shared" si="28"/>
        <v>0</v>
      </c>
      <c r="AB32" s="9">
        <f t="shared" si="29"/>
        <v>0</v>
      </c>
      <c r="AC32" s="9">
        <f t="shared" si="30"/>
        <v>0</v>
      </c>
      <c r="AD32" s="9">
        <f t="shared" si="31"/>
        <v>0</v>
      </c>
      <c r="AE32" s="9">
        <f t="shared" si="32"/>
        <v>0</v>
      </c>
      <c r="AF32" s="9">
        <f t="shared" si="33"/>
        <v>0</v>
      </c>
      <c r="AG32" s="9">
        <f t="shared" si="34"/>
        <v>0</v>
      </c>
      <c r="AH32" s="9">
        <f t="shared" si="35"/>
        <v>0</v>
      </c>
      <c r="AI32" s="12" t="s">
        <v>236</v>
      </c>
      <c r="AJ32" s="9">
        <f t="shared" si="36"/>
        <v>0</v>
      </c>
      <c r="AK32" s="9">
        <f t="shared" si="37"/>
        <v>0</v>
      </c>
      <c r="AL32" s="9">
        <f t="shared" si="38"/>
        <v>0</v>
      </c>
      <c r="AN32" s="9">
        <v>21</v>
      </c>
      <c r="AO32" s="9">
        <f>H32*0.551097906</f>
        <v>0</v>
      </c>
      <c r="AP32" s="9">
        <f>H32*(1-0.551097906)</f>
        <v>0</v>
      </c>
      <c r="AQ32" s="69" t="s">
        <v>330</v>
      </c>
      <c r="AV32" s="9">
        <f t="shared" si="39"/>
        <v>0</v>
      </c>
      <c r="AW32" s="9">
        <f t="shared" si="40"/>
        <v>0</v>
      </c>
      <c r="AX32" s="9">
        <f t="shared" si="41"/>
        <v>0</v>
      </c>
      <c r="AY32" s="69" t="s">
        <v>337</v>
      </c>
      <c r="AZ32" s="69" t="s">
        <v>338</v>
      </c>
      <c r="BA32" s="12" t="s">
        <v>322</v>
      </c>
      <c r="BC32" s="9">
        <f t="shared" si="42"/>
        <v>0</v>
      </c>
      <c r="BD32" s="9">
        <f t="shared" si="43"/>
        <v>0</v>
      </c>
      <c r="BE32" s="9">
        <v>0</v>
      </c>
      <c r="BF32" s="9">
        <f t="shared" si="44"/>
        <v>5.6273999999999994E-3</v>
      </c>
      <c r="BH32" s="9">
        <f t="shared" si="45"/>
        <v>0</v>
      </c>
      <c r="BI32" s="9">
        <f t="shared" si="46"/>
        <v>0</v>
      </c>
      <c r="BJ32" s="9">
        <f t="shared" si="47"/>
        <v>0</v>
      </c>
      <c r="BK32" s="69" t="s">
        <v>26</v>
      </c>
      <c r="BL32" s="9">
        <v>766</v>
      </c>
      <c r="BW32" s="9">
        <v>21</v>
      </c>
      <c r="BX32" s="3" t="s">
        <v>65</v>
      </c>
    </row>
    <row r="33" spans="1:76" ht="14.6" x14ac:dyDescent="0.4">
      <c r="A33" s="173"/>
      <c r="B33" s="2"/>
      <c r="C33" s="2"/>
      <c r="D33" s="3" t="s">
        <v>499</v>
      </c>
      <c r="E33" s="2"/>
      <c r="F33" s="2" t="s">
        <v>155</v>
      </c>
      <c r="G33" s="9">
        <v>1</v>
      </c>
      <c r="H33" s="9">
        <f>'Vybavení laboratoře'!J23</f>
        <v>0</v>
      </c>
      <c r="I33" s="9">
        <f>'Vybavení laboratoře'!H12</f>
        <v>0</v>
      </c>
      <c r="J33" s="9">
        <f>'Vybavení laboratoře'!I12</f>
        <v>0</v>
      </c>
      <c r="K33" s="9">
        <f>ROUND(G33*H33,0)</f>
        <v>0</v>
      </c>
      <c r="L33" s="9"/>
      <c r="M33" s="9"/>
      <c r="N33" s="174"/>
      <c r="Z33" s="9"/>
      <c r="AB33" s="9"/>
      <c r="AC33" s="9"/>
      <c r="AD33" s="9"/>
      <c r="AE33" s="9"/>
      <c r="AF33" s="9"/>
      <c r="AG33" s="9"/>
      <c r="AH33" s="9"/>
      <c r="AI33" s="12"/>
      <c r="AJ33" s="9"/>
      <c r="AK33" s="9"/>
      <c r="AL33" s="9"/>
      <c r="AN33" s="9"/>
      <c r="AO33" s="9"/>
      <c r="AP33" s="9"/>
      <c r="AQ33" s="69"/>
      <c r="AV33" s="9"/>
      <c r="AW33" s="9"/>
      <c r="AX33" s="9"/>
      <c r="AY33" s="69"/>
      <c r="AZ33" s="69"/>
      <c r="BA33" s="12"/>
      <c r="BC33" s="9"/>
      <c r="BD33" s="9"/>
      <c r="BE33" s="9"/>
      <c r="BF33" s="9"/>
      <c r="BH33" s="9"/>
      <c r="BI33" s="9"/>
      <c r="BJ33" s="9"/>
      <c r="BK33" s="69"/>
      <c r="BL33" s="9"/>
      <c r="BW33" s="9"/>
      <c r="BX33" s="3"/>
    </row>
    <row r="34" spans="1:76" ht="14.6" x14ac:dyDescent="0.4">
      <c r="A34" s="1">
        <v>17</v>
      </c>
      <c r="B34" s="2" t="s">
        <v>236</v>
      </c>
      <c r="C34" s="2" t="s">
        <v>69</v>
      </c>
      <c r="D34" s="184" t="s">
        <v>70</v>
      </c>
      <c r="E34" s="185"/>
      <c r="F34" s="2" t="s">
        <v>71</v>
      </c>
      <c r="G34" s="9">
        <v>407.09</v>
      </c>
      <c r="H34" s="9"/>
      <c r="I34" s="9">
        <f t="shared" si="24"/>
        <v>0</v>
      </c>
      <c r="J34" s="9">
        <f t="shared" si="25"/>
        <v>0</v>
      </c>
      <c r="K34" s="9">
        <f t="shared" si="26"/>
        <v>0</v>
      </c>
      <c r="L34" s="9">
        <v>0</v>
      </c>
      <c r="M34" s="9">
        <f t="shared" si="27"/>
        <v>0</v>
      </c>
      <c r="N34" s="68" t="s">
        <v>319</v>
      </c>
      <c r="Z34" s="9">
        <f t="shared" si="28"/>
        <v>0</v>
      </c>
      <c r="AB34" s="9">
        <f t="shared" si="29"/>
        <v>0</v>
      </c>
      <c r="AC34" s="9">
        <f t="shared" si="30"/>
        <v>0</v>
      </c>
      <c r="AD34" s="9">
        <f t="shared" si="31"/>
        <v>0</v>
      </c>
      <c r="AE34" s="9">
        <f t="shared" si="32"/>
        <v>0</v>
      </c>
      <c r="AF34" s="9">
        <f t="shared" si="33"/>
        <v>0</v>
      </c>
      <c r="AG34" s="9">
        <f t="shared" si="34"/>
        <v>0</v>
      </c>
      <c r="AH34" s="9">
        <f t="shared" si="35"/>
        <v>0</v>
      </c>
      <c r="AI34" s="12" t="s">
        <v>236</v>
      </c>
      <c r="AJ34" s="9">
        <f t="shared" si="36"/>
        <v>0</v>
      </c>
      <c r="AK34" s="9">
        <f t="shared" si="37"/>
        <v>0</v>
      </c>
      <c r="AL34" s="9">
        <f t="shared" si="38"/>
        <v>0</v>
      </c>
      <c r="AN34" s="9">
        <v>21</v>
      </c>
      <c r="AO34" s="9">
        <f>H34*0</f>
        <v>0</v>
      </c>
      <c r="AP34" s="9">
        <f>H34*(1-0)</f>
        <v>0</v>
      </c>
      <c r="AQ34" s="69" t="s">
        <v>328</v>
      </c>
      <c r="AV34" s="9">
        <f t="shared" si="39"/>
        <v>0</v>
      </c>
      <c r="AW34" s="9">
        <f t="shared" si="40"/>
        <v>0</v>
      </c>
      <c r="AX34" s="9">
        <f t="shared" si="41"/>
        <v>0</v>
      </c>
      <c r="AY34" s="69" t="s">
        <v>337</v>
      </c>
      <c r="AZ34" s="69" t="s">
        <v>338</v>
      </c>
      <c r="BA34" s="12" t="s">
        <v>322</v>
      </c>
      <c r="BC34" s="9">
        <f t="shared" si="42"/>
        <v>0</v>
      </c>
      <c r="BD34" s="9">
        <f t="shared" si="43"/>
        <v>0</v>
      </c>
      <c r="BE34" s="9">
        <v>0</v>
      </c>
      <c r="BF34" s="9">
        <f t="shared" si="44"/>
        <v>0</v>
      </c>
      <c r="BH34" s="9">
        <f t="shared" si="45"/>
        <v>0</v>
      </c>
      <c r="BI34" s="9">
        <f t="shared" si="46"/>
        <v>0</v>
      </c>
      <c r="BJ34" s="9">
        <f t="shared" si="47"/>
        <v>0</v>
      </c>
      <c r="BK34" s="69" t="s">
        <v>26</v>
      </c>
      <c r="BL34" s="9">
        <v>766</v>
      </c>
      <c r="BW34" s="9">
        <v>21</v>
      </c>
      <c r="BX34" s="3" t="s">
        <v>67</v>
      </c>
    </row>
    <row r="35" spans="1:76" ht="14.6" x14ac:dyDescent="0.4">
      <c r="A35" s="70" t="s">
        <v>236</v>
      </c>
      <c r="B35" s="11" t="s">
        <v>236</v>
      </c>
      <c r="C35" s="11" t="s">
        <v>72</v>
      </c>
      <c r="D35" s="240" t="s">
        <v>73</v>
      </c>
      <c r="E35" s="241"/>
      <c r="F35" s="71" t="s">
        <v>20</v>
      </c>
      <c r="G35" s="71" t="s">
        <v>20</v>
      </c>
      <c r="H35" s="71" t="s">
        <v>20</v>
      </c>
      <c r="I35" s="13">
        <f>ROUND(SUM(I36:I43),0)</f>
        <v>0</v>
      </c>
      <c r="J35" s="13">
        <f>ROUND(SUM(J36:J43),0)</f>
        <v>0</v>
      </c>
      <c r="K35" s="13">
        <f>ROUND(SUM(K36:K43),0)</f>
        <v>0</v>
      </c>
      <c r="L35" s="12" t="s">
        <v>236</v>
      </c>
      <c r="M35" s="13">
        <f>SUM(M36:M43)</f>
        <v>1.0193591</v>
      </c>
      <c r="N35" s="72" t="s">
        <v>236</v>
      </c>
      <c r="AI35" s="12" t="s">
        <v>236</v>
      </c>
      <c r="AS35" s="13">
        <f>SUM(AJ36:AJ43)</f>
        <v>0</v>
      </c>
      <c r="AT35" s="13">
        <f>SUM(AK36:AK43)</f>
        <v>0</v>
      </c>
      <c r="AU35" s="13">
        <f>SUM(AL36:AL43)</f>
        <v>0</v>
      </c>
      <c r="BW35" s="9">
        <v>21</v>
      </c>
      <c r="BX35" s="3" t="s">
        <v>70</v>
      </c>
    </row>
    <row r="36" spans="1:76" ht="14.6" x14ac:dyDescent="0.4">
      <c r="A36" s="1">
        <v>18</v>
      </c>
      <c r="B36" s="2" t="s">
        <v>236</v>
      </c>
      <c r="C36" s="2" t="s">
        <v>74</v>
      </c>
      <c r="D36" s="184" t="s">
        <v>75</v>
      </c>
      <c r="E36" s="185"/>
      <c r="F36" s="2" t="s">
        <v>25</v>
      </c>
      <c r="G36" s="9">
        <v>24.91</v>
      </c>
      <c r="H36" s="9"/>
      <c r="I36" s="9">
        <f t="shared" ref="I36:I43" si="48">ROUND(G36*AO36,2)</f>
        <v>0</v>
      </c>
      <c r="J36" s="9">
        <f t="shared" ref="J36:J43" si="49">ROUND(G36*AP36,2)</f>
        <v>0</v>
      </c>
      <c r="K36" s="9">
        <f t="shared" ref="K36:K43" si="50">ROUND(G36*H36,0)</f>
        <v>0</v>
      </c>
      <c r="L36" s="9">
        <v>1.1E-4</v>
      </c>
      <c r="M36" s="9">
        <f t="shared" ref="M36:M43" si="51">G36*L36</f>
        <v>2.7401000000000001E-3</v>
      </c>
      <c r="N36" s="68" t="s">
        <v>319</v>
      </c>
      <c r="Z36" s="9">
        <f t="shared" ref="Z36:Z43" si="52">ROUND(IF(AQ36="5",BJ36,0),2)</f>
        <v>0</v>
      </c>
      <c r="AB36" s="9">
        <f t="shared" ref="AB36:AB43" si="53">ROUND(IF(AQ36="1",BH36,0),2)</f>
        <v>0</v>
      </c>
      <c r="AC36" s="9">
        <f t="shared" ref="AC36:AC43" si="54">ROUND(IF(AQ36="1",BI36,0),2)</f>
        <v>0</v>
      </c>
      <c r="AD36" s="9">
        <f t="shared" ref="AD36:AD43" si="55">ROUND(IF(AQ36="7",BH36,0),2)</f>
        <v>0</v>
      </c>
      <c r="AE36" s="9">
        <f t="shared" ref="AE36:AE43" si="56">ROUND(IF(AQ36="7",BI36,0),2)</f>
        <v>0</v>
      </c>
      <c r="AF36" s="9">
        <f t="shared" ref="AF36:AF43" si="57">ROUND(IF(AQ36="2",BH36,0),2)</f>
        <v>0</v>
      </c>
      <c r="AG36" s="9">
        <f t="shared" ref="AG36:AG43" si="58">ROUND(IF(AQ36="2",BI36,0),2)</f>
        <v>0</v>
      </c>
      <c r="AH36" s="9">
        <f t="shared" ref="AH36:AH43" si="59">ROUND(IF(AQ36="0",BJ36,0),2)</f>
        <v>0</v>
      </c>
      <c r="AI36" s="12" t="s">
        <v>236</v>
      </c>
      <c r="AJ36" s="9">
        <f t="shared" ref="AJ36:AJ43" si="60">IF(AN36=0,K36,0)</f>
        <v>0</v>
      </c>
      <c r="AK36" s="9">
        <f t="shared" ref="AK36:AK43" si="61">IF(AN36=12,K36,0)</f>
        <v>0</v>
      </c>
      <c r="AL36" s="9">
        <f t="shared" ref="AL36:AL43" si="62">IF(AN36=21,K36,0)</f>
        <v>0</v>
      </c>
      <c r="AN36" s="9">
        <v>21</v>
      </c>
      <c r="AO36" s="9">
        <f>H36*0.378692253</f>
        <v>0</v>
      </c>
      <c r="AP36" s="9">
        <f>H36*(1-0.378692253)</f>
        <v>0</v>
      </c>
      <c r="AQ36" s="69" t="s">
        <v>330</v>
      </c>
      <c r="AV36" s="9">
        <f t="shared" ref="AV36:AV43" si="63">ROUND(AW36+AX36,2)</f>
        <v>0</v>
      </c>
      <c r="AW36" s="9">
        <f t="shared" ref="AW36:AW43" si="64">ROUND(G36*AO36,2)</f>
        <v>0</v>
      </c>
      <c r="AX36" s="9">
        <f t="shared" ref="AX36:AX43" si="65">ROUND(G36*AP36,2)</f>
        <v>0</v>
      </c>
      <c r="AY36" s="69" t="s">
        <v>339</v>
      </c>
      <c r="AZ36" s="69" t="s">
        <v>340</v>
      </c>
      <c r="BA36" s="12" t="s">
        <v>322</v>
      </c>
      <c r="BC36" s="9">
        <f t="shared" ref="BC36:BC43" si="66">AW36+AX36</f>
        <v>0</v>
      </c>
      <c r="BD36" s="9">
        <f t="shared" ref="BD36:BD43" si="67">H36/(100-BE36)*100</f>
        <v>0</v>
      </c>
      <c r="BE36" s="9">
        <v>0</v>
      </c>
      <c r="BF36" s="9">
        <f t="shared" ref="BF36:BF43" si="68">M36</f>
        <v>2.7401000000000001E-3</v>
      </c>
      <c r="BH36" s="9">
        <f t="shared" ref="BH36:BH43" si="69">G36*AO36</f>
        <v>0</v>
      </c>
      <c r="BI36" s="9">
        <f t="shared" ref="BI36:BI43" si="70">G36*AP36</f>
        <v>0</v>
      </c>
      <c r="BJ36" s="9">
        <f t="shared" ref="BJ36:BJ43" si="71">G36*H36</f>
        <v>0</v>
      </c>
      <c r="BK36" s="69" t="s">
        <v>26</v>
      </c>
      <c r="BL36" s="9">
        <v>771</v>
      </c>
    </row>
    <row r="37" spans="1:76" ht="14.6" x14ac:dyDescent="0.4">
      <c r="A37" s="1">
        <v>19</v>
      </c>
      <c r="B37" s="2" t="s">
        <v>236</v>
      </c>
      <c r="C37" s="2" t="s">
        <v>76</v>
      </c>
      <c r="D37" s="184" t="s">
        <v>77</v>
      </c>
      <c r="E37" s="185"/>
      <c r="F37" s="2" t="s">
        <v>25</v>
      </c>
      <c r="G37" s="9">
        <v>24.91</v>
      </c>
      <c r="H37" s="9"/>
      <c r="I37" s="9">
        <f t="shared" si="48"/>
        <v>0</v>
      </c>
      <c r="J37" s="9">
        <f t="shared" si="49"/>
        <v>0</v>
      </c>
      <c r="K37" s="9">
        <f t="shared" si="50"/>
        <v>0</v>
      </c>
      <c r="L37" s="9">
        <v>3.8899999999999998E-3</v>
      </c>
      <c r="M37" s="9">
        <f t="shared" si="51"/>
        <v>9.6899899999999997E-2</v>
      </c>
      <c r="N37" s="68" t="s">
        <v>319</v>
      </c>
      <c r="Z37" s="9">
        <f t="shared" si="52"/>
        <v>0</v>
      </c>
      <c r="AB37" s="9">
        <f t="shared" si="53"/>
        <v>0</v>
      </c>
      <c r="AC37" s="9">
        <f t="shared" si="54"/>
        <v>0</v>
      </c>
      <c r="AD37" s="9">
        <f t="shared" si="55"/>
        <v>0</v>
      </c>
      <c r="AE37" s="9">
        <f t="shared" si="56"/>
        <v>0</v>
      </c>
      <c r="AF37" s="9">
        <f t="shared" si="57"/>
        <v>0</v>
      </c>
      <c r="AG37" s="9">
        <f t="shared" si="58"/>
        <v>0</v>
      </c>
      <c r="AH37" s="9">
        <f t="shared" si="59"/>
        <v>0</v>
      </c>
      <c r="AI37" s="12" t="s">
        <v>236</v>
      </c>
      <c r="AJ37" s="9">
        <f t="shared" si="60"/>
        <v>0</v>
      </c>
      <c r="AK37" s="9">
        <f t="shared" si="61"/>
        <v>0</v>
      </c>
      <c r="AL37" s="9">
        <f t="shared" si="62"/>
        <v>0</v>
      </c>
      <c r="AN37" s="9">
        <v>21</v>
      </c>
      <c r="AO37" s="9">
        <f>H37*0.346600801</f>
        <v>0</v>
      </c>
      <c r="AP37" s="9">
        <f>H37*(1-0.346600801)</f>
        <v>0</v>
      </c>
      <c r="AQ37" s="69" t="s">
        <v>330</v>
      </c>
      <c r="AV37" s="9">
        <f t="shared" si="63"/>
        <v>0</v>
      </c>
      <c r="AW37" s="9">
        <f t="shared" si="64"/>
        <v>0</v>
      </c>
      <c r="AX37" s="9">
        <f t="shared" si="65"/>
        <v>0</v>
      </c>
      <c r="AY37" s="69" t="s">
        <v>339</v>
      </c>
      <c r="AZ37" s="69" t="s">
        <v>340</v>
      </c>
      <c r="BA37" s="12" t="s">
        <v>322</v>
      </c>
      <c r="BC37" s="9">
        <f t="shared" si="66"/>
        <v>0</v>
      </c>
      <c r="BD37" s="9">
        <f t="shared" si="67"/>
        <v>0</v>
      </c>
      <c r="BE37" s="9">
        <v>0</v>
      </c>
      <c r="BF37" s="9">
        <f t="shared" si="68"/>
        <v>9.6899899999999997E-2</v>
      </c>
      <c r="BH37" s="9">
        <f t="shared" si="69"/>
        <v>0</v>
      </c>
      <c r="BI37" s="9">
        <f t="shared" si="70"/>
        <v>0</v>
      </c>
      <c r="BJ37" s="9">
        <f t="shared" si="71"/>
        <v>0</v>
      </c>
      <c r="BK37" s="69" t="s">
        <v>26</v>
      </c>
      <c r="BL37" s="9">
        <v>771</v>
      </c>
      <c r="BW37" s="9">
        <v>21</v>
      </c>
      <c r="BX37" s="3" t="s">
        <v>75</v>
      </c>
    </row>
    <row r="38" spans="1:76" ht="14.6" x14ac:dyDescent="0.4">
      <c r="A38" s="1">
        <v>20</v>
      </c>
      <c r="B38" s="2" t="s">
        <v>236</v>
      </c>
      <c r="C38" s="2" t="s">
        <v>78</v>
      </c>
      <c r="D38" s="184" t="s">
        <v>79</v>
      </c>
      <c r="E38" s="185"/>
      <c r="F38" s="2" t="s">
        <v>25</v>
      </c>
      <c r="G38" s="9">
        <v>26.16</v>
      </c>
      <c r="H38" s="9"/>
      <c r="I38" s="9">
        <f t="shared" si="48"/>
        <v>0</v>
      </c>
      <c r="J38" s="9">
        <f t="shared" si="49"/>
        <v>0</v>
      </c>
      <c r="K38" s="9">
        <f t="shared" si="50"/>
        <v>0</v>
      </c>
      <c r="L38" s="9">
        <v>3.3500000000000002E-2</v>
      </c>
      <c r="M38" s="9">
        <f t="shared" si="51"/>
        <v>0.87636000000000003</v>
      </c>
      <c r="N38" s="68" t="s">
        <v>319</v>
      </c>
      <c r="Z38" s="9">
        <f t="shared" si="52"/>
        <v>0</v>
      </c>
      <c r="AB38" s="9">
        <f t="shared" si="53"/>
        <v>0</v>
      </c>
      <c r="AC38" s="9">
        <f t="shared" si="54"/>
        <v>0</v>
      </c>
      <c r="AD38" s="9">
        <f t="shared" si="55"/>
        <v>0</v>
      </c>
      <c r="AE38" s="9">
        <f t="shared" si="56"/>
        <v>0</v>
      </c>
      <c r="AF38" s="9">
        <f t="shared" si="57"/>
        <v>0</v>
      </c>
      <c r="AG38" s="9">
        <f t="shared" si="58"/>
        <v>0</v>
      </c>
      <c r="AH38" s="9">
        <f t="shared" si="59"/>
        <v>0</v>
      </c>
      <c r="AI38" s="12" t="s">
        <v>236</v>
      </c>
      <c r="AJ38" s="9">
        <f t="shared" si="60"/>
        <v>0</v>
      </c>
      <c r="AK38" s="9">
        <f t="shared" si="61"/>
        <v>0</v>
      </c>
      <c r="AL38" s="9">
        <f t="shared" si="62"/>
        <v>0</v>
      </c>
      <c r="AN38" s="9">
        <v>21</v>
      </c>
      <c r="AO38" s="9">
        <f>H38*1</f>
        <v>0</v>
      </c>
      <c r="AP38" s="9">
        <f>H38*(1-1)</f>
        <v>0</v>
      </c>
      <c r="AQ38" s="69" t="s">
        <v>330</v>
      </c>
      <c r="AV38" s="9">
        <f t="shared" si="63"/>
        <v>0</v>
      </c>
      <c r="AW38" s="9">
        <f t="shared" si="64"/>
        <v>0</v>
      </c>
      <c r="AX38" s="9">
        <f t="shared" si="65"/>
        <v>0</v>
      </c>
      <c r="AY38" s="69" t="s">
        <v>339</v>
      </c>
      <c r="AZ38" s="69" t="s">
        <v>340</v>
      </c>
      <c r="BA38" s="12" t="s">
        <v>322</v>
      </c>
      <c r="BC38" s="9">
        <f t="shared" si="66"/>
        <v>0</v>
      </c>
      <c r="BD38" s="9">
        <f t="shared" si="67"/>
        <v>0</v>
      </c>
      <c r="BE38" s="9">
        <v>0</v>
      </c>
      <c r="BF38" s="9">
        <f t="shared" si="68"/>
        <v>0.87636000000000003</v>
      </c>
      <c r="BH38" s="9">
        <f t="shared" si="69"/>
        <v>0</v>
      </c>
      <c r="BI38" s="9">
        <f t="shared" si="70"/>
        <v>0</v>
      </c>
      <c r="BJ38" s="9">
        <f t="shared" si="71"/>
        <v>0</v>
      </c>
      <c r="BK38" s="69" t="s">
        <v>54</v>
      </c>
      <c r="BL38" s="9">
        <v>771</v>
      </c>
      <c r="BW38" s="9">
        <v>21</v>
      </c>
      <c r="BX38" s="3" t="s">
        <v>77</v>
      </c>
    </row>
    <row r="39" spans="1:76" ht="14.6" x14ac:dyDescent="0.4">
      <c r="A39" s="1">
        <v>21</v>
      </c>
      <c r="B39" s="2" t="s">
        <v>236</v>
      </c>
      <c r="C39" s="2" t="s">
        <v>80</v>
      </c>
      <c r="D39" s="184" t="s">
        <v>81</v>
      </c>
      <c r="E39" s="185"/>
      <c r="F39" s="2" t="s">
        <v>68</v>
      </c>
      <c r="G39" s="9">
        <v>18.71</v>
      </c>
      <c r="H39" s="9"/>
      <c r="I39" s="9">
        <f t="shared" si="48"/>
        <v>0</v>
      </c>
      <c r="J39" s="9">
        <f t="shared" si="49"/>
        <v>0</v>
      </c>
      <c r="K39" s="9">
        <f t="shared" si="50"/>
        <v>0</v>
      </c>
      <c r="L39" s="9">
        <v>6.7000000000000002E-4</v>
      </c>
      <c r="M39" s="9">
        <f t="shared" si="51"/>
        <v>1.25357E-2</v>
      </c>
      <c r="N39" s="68" t="s">
        <v>319</v>
      </c>
      <c r="Z39" s="9">
        <f t="shared" si="52"/>
        <v>0</v>
      </c>
      <c r="AB39" s="9">
        <f t="shared" si="53"/>
        <v>0</v>
      </c>
      <c r="AC39" s="9">
        <f t="shared" si="54"/>
        <v>0</v>
      </c>
      <c r="AD39" s="9">
        <f t="shared" si="55"/>
        <v>0</v>
      </c>
      <c r="AE39" s="9">
        <f t="shared" si="56"/>
        <v>0</v>
      </c>
      <c r="AF39" s="9">
        <f t="shared" si="57"/>
        <v>0</v>
      </c>
      <c r="AG39" s="9">
        <f t="shared" si="58"/>
        <v>0</v>
      </c>
      <c r="AH39" s="9">
        <f t="shared" si="59"/>
        <v>0</v>
      </c>
      <c r="AI39" s="12" t="s">
        <v>236</v>
      </c>
      <c r="AJ39" s="9">
        <f t="shared" si="60"/>
        <v>0</v>
      </c>
      <c r="AK39" s="9">
        <f t="shared" si="61"/>
        <v>0</v>
      </c>
      <c r="AL39" s="9">
        <f t="shared" si="62"/>
        <v>0</v>
      </c>
      <c r="AN39" s="9">
        <v>21</v>
      </c>
      <c r="AO39" s="9">
        <f>H39*0.1581172</f>
        <v>0</v>
      </c>
      <c r="AP39" s="9">
        <f>H39*(1-0.1581172)</f>
        <v>0</v>
      </c>
      <c r="AQ39" s="69" t="s">
        <v>330</v>
      </c>
      <c r="AV39" s="9">
        <f t="shared" si="63"/>
        <v>0</v>
      </c>
      <c r="AW39" s="9">
        <f t="shared" si="64"/>
        <v>0</v>
      </c>
      <c r="AX39" s="9">
        <f t="shared" si="65"/>
        <v>0</v>
      </c>
      <c r="AY39" s="69" t="s">
        <v>339</v>
      </c>
      <c r="AZ39" s="69" t="s">
        <v>340</v>
      </c>
      <c r="BA39" s="12" t="s">
        <v>322</v>
      </c>
      <c r="BC39" s="9">
        <f t="shared" si="66"/>
        <v>0</v>
      </c>
      <c r="BD39" s="9">
        <f t="shared" si="67"/>
        <v>0</v>
      </c>
      <c r="BE39" s="9">
        <v>0</v>
      </c>
      <c r="BF39" s="9">
        <f t="shared" si="68"/>
        <v>1.25357E-2</v>
      </c>
      <c r="BH39" s="9">
        <f t="shared" si="69"/>
        <v>0</v>
      </c>
      <c r="BI39" s="9">
        <f t="shared" si="70"/>
        <v>0</v>
      </c>
      <c r="BJ39" s="9">
        <f t="shared" si="71"/>
        <v>0</v>
      </c>
      <c r="BK39" s="69" t="s">
        <v>26</v>
      </c>
      <c r="BL39" s="9">
        <v>771</v>
      </c>
      <c r="BW39" s="9">
        <v>21</v>
      </c>
      <c r="BX39" s="3" t="s">
        <v>79</v>
      </c>
    </row>
    <row r="40" spans="1:76" ht="14.6" x14ac:dyDescent="0.4">
      <c r="A40" s="1">
        <v>22</v>
      </c>
      <c r="B40" s="2" t="s">
        <v>236</v>
      </c>
      <c r="C40" s="2" t="s">
        <v>82</v>
      </c>
      <c r="D40" s="184" t="s">
        <v>83</v>
      </c>
      <c r="E40" s="185"/>
      <c r="F40" s="2" t="s">
        <v>51</v>
      </c>
      <c r="G40" s="9">
        <v>65.5</v>
      </c>
      <c r="H40" s="9"/>
      <c r="I40" s="9">
        <f t="shared" si="48"/>
        <v>0</v>
      </c>
      <c r="J40" s="9">
        <f t="shared" si="49"/>
        <v>0</v>
      </c>
      <c r="K40" s="9">
        <f t="shared" si="50"/>
        <v>0</v>
      </c>
      <c r="L40" s="9">
        <v>4.4999999999999999E-4</v>
      </c>
      <c r="M40" s="9">
        <f t="shared" si="51"/>
        <v>2.9474999999999998E-2</v>
      </c>
      <c r="N40" s="68" t="s">
        <v>319</v>
      </c>
      <c r="Z40" s="9">
        <f t="shared" si="52"/>
        <v>0</v>
      </c>
      <c r="AB40" s="9">
        <f t="shared" si="53"/>
        <v>0</v>
      </c>
      <c r="AC40" s="9">
        <f t="shared" si="54"/>
        <v>0</v>
      </c>
      <c r="AD40" s="9">
        <f t="shared" si="55"/>
        <v>0</v>
      </c>
      <c r="AE40" s="9">
        <f t="shared" si="56"/>
        <v>0</v>
      </c>
      <c r="AF40" s="9">
        <f t="shared" si="57"/>
        <v>0</v>
      </c>
      <c r="AG40" s="9">
        <f t="shared" si="58"/>
        <v>0</v>
      </c>
      <c r="AH40" s="9">
        <f t="shared" si="59"/>
        <v>0</v>
      </c>
      <c r="AI40" s="12" t="s">
        <v>236</v>
      </c>
      <c r="AJ40" s="9">
        <f t="shared" si="60"/>
        <v>0</v>
      </c>
      <c r="AK40" s="9">
        <f t="shared" si="61"/>
        <v>0</v>
      </c>
      <c r="AL40" s="9">
        <f t="shared" si="62"/>
        <v>0</v>
      </c>
      <c r="AN40" s="9">
        <v>21</v>
      </c>
      <c r="AO40" s="9">
        <f>H40*1</f>
        <v>0</v>
      </c>
      <c r="AP40" s="9">
        <f>H40*(1-1)</f>
        <v>0</v>
      </c>
      <c r="AQ40" s="69" t="s">
        <v>330</v>
      </c>
      <c r="AV40" s="9">
        <f t="shared" si="63"/>
        <v>0</v>
      </c>
      <c r="AW40" s="9">
        <f t="shared" si="64"/>
        <v>0</v>
      </c>
      <c r="AX40" s="9">
        <f t="shared" si="65"/>
        <v>0</v>
      </c>
      <c r="AY40" s="69" t="s">
        <v>339</v>
      </c>
      <c r="AZ40" s="69" t="s">
        <v>340</v>
      </c>
      <c r="BA40" s="12" t="s">
        <v>322</v>
      </c>
      <c r="BC40" s="9">
        <f t="shared" si="66"/>
        <v>0</v>
      </c>
      <c r="BD40" s="9">
        <f t="shared" si="67"/>
        <v>0</v>
      </c>
      <c r="BE40" s="9">
        <v>0</v>
      </c>
      <c r="BF40" s="9">
        <f t="shared" si="68"/>
        <v>2.9474999999999998E-2</v>
      </c>
      <c r="BH40" s="9">
        <f t="shared" si="69"/>
        <v>0</v>
      </c>
      <c r="BI40" s="9">
        <f t="shared" si="70"/>
        <v>0</v>
      </c>
      <c r="BJ40" s="9">
        <f t="shared" si="71"/>
        <v>0</v>
      </c>
      <c r="BK40" s="69" t="s">
        <v>54</v>
      </c>
      <c r="BL40" s="9">
        <v>771</v>
      </c>
      <c r="BW40" s="9">
        <v>21</v>
      </c>
      <c r="BX40" s="3" t="s">
        <v>81</v>
      </c>
    </row>
    <row r="41" spans="1:76" ht="14.6" x14ac:dyDescent="0.4">
      <c r="A41" s="1">
        <v>23</v>
      </c>
      <c r="B41" s="2" t="s">
        <v>236</v>
      </c>
      <c r="C41" s="2" t="s">
        <v>84</v>
      </c>
      <c r="D41" s="184" t="s">
        <v>85</v>
      </c>
      <c r="E41" s="185"/>
      <c r="F41" s="2" t="s">
        <v>68</v>
      </c>
      <c r="G41" s="9">
        <v>1.25</v>
      </c>
      <c r="H41" s="9"/>
      <c r="I41" s="9">
        <f t="shared" si="48"/>
        <v>0</v>
      </c>
      <c r="J41" s="9">
        <f t="shared" si="49"/>
        <v>0</v>
      </c>
      <c r="K41" s="9">
        <f t="shared" si="50"/>
        <v>0</v>
      </c>
      <c r="L41" s="9">
        <v>4.8000000000000001E-4</v>
      </c>
      <c r="M41" s="9">
        <f t="shared" si="51"/>
        <v>6.0000000000000006E-4</v>
      </c>
      <c r="N41" s="68" t="s">
        <v>319</v>
      </c>
      <c r="Z41" s="9">
        <f t="shared" si="52"/>
        <v>0</v>
      </c>
      <c r="AB41" s="9">
        <f t="shared" si="53"/>
        <v>0</v>
      </c>
      <c r="AC41" s="9">
        <f t="shared" si="54"/>
        <v>0</v>
      </c>
      <c r="AD41" s="9">
        <f t="shared" si="55"/>
        <v>0</v>
      </c>
      <c r="AE41" s="9">
        <f t="shared" si="56"/>
        <v>0</v>
      </c>
      <c r="AF41" s="9">
        <f t="shared" si="57"/>
        <v>0</v>
      </c>
      <c r="AG41" s="9">
        <f t="shared" si="58"/>
        <v>0</v>
      </c>
      <c r="AH41" s="9">
        <f t="shared" si="59"/>
        <v>0</v>
      </c>
      <c r="AI41" s="12" t="s">
        <v>236</v>
      </c>
      <c r="AJ41" s="9">
        <f t="shared" si="60"/>
        <v>0</v>
      </c>
      <c r="AK41" s="9">
        <f t="shared" si="61"/>
        <v>0</v>
      </c>
      <c r="AL41" s="9">
        <f t="shared" si="62"/>
        <v>0</v>
      </c>
      <c r="AN41" s="9">
        <v>21</v>
      </c>
      <c r="AO41" s="9">
        <f>H41*0.804948148</f>
        <v>0</v>
      </c>
      <c r="AP41" s="9">
        <f>H41*(1-0.804948148)</f>
        <v>0</v>
      </c>
      <c r="AQ41" s="69" t="s">
        <v>330</v>
      </c>
      <c r="AV41" s="9">
        <f t="shared" si="63"/>
        <v>0</v>
      </c>
      <c r="AW41" s="9">
        <f t="shared" si="64"/>
        <v>0</v>
      </c>
      <c r="AX41" s="9">
        <f t="shared" si="65"/>
        <v>0</v>
      </c>
      <c r="AY41" s="69" t="s">
        <v>339</v>
      </c>
      <c r="AZ41" s="69" t="s">
        <v>340</v>
      </c>
      <c r="BA41" s="12" t="s">
        <v>322</v>
      </c>
      <c r="BC41" s="9">
        <f t="shared" si="66"/>
        <v>0</v>
      </c>
      <c r="BD41" s="9">
        <f t="shared" si="67"/>
        <v>0</v>
      </c>
      <c r="BE41" s="9">
        <v>0</v>
      </c>
      <c r="BF41" s="9">
        <f t="shared" si="68"/>
        <v>6.0000000000000006E-4</v>
      </c>
      <c r="BH41" s="9">
        <f t="shared" si="69"/>
        <v>0</v>
      </c>
      <c r="BI41" s="9">
        <f t="shared" si="70"/>
        <v>0</v>
      </c>
      <c r="BJ41" s="9">
        <f t="shared" si="71"/>
        <v>0</v>
      </c>
      <c r="BK41" s="69" t="s">
        <v>26</v>
      </c>
      <c r="BL41" s="9">
        <v>771</v>
      </c>
      <c r="BW41" s="9">
        <v>21</v>
      </c>
      <c r="BX41" s="3" t="s">
        <v>83</v>
      </c>
    </row>
    <row r="42" spans="1:76" ht="14.6" x14ac:dyDescent="0.4">
      <c r="A42" s="1">
        <v>24</v>
      </c>
      <c r="B42" s="2" t="s">
        <v>236</v>
      </c>
      <c r="C42" s="2" t="s">
        <v>86</v>
      </c>
      <c r="D42" s="184" t="s">
        <v>87</v>
      </c>
      <c r="E42" s="185"/>
      <c r="F42" s="2" t="s">
        <v>68</v>
      </c>
      <c r="G42" s="9">
        <v>18.71</v>
      </c>
      <c r="H42" s="9"/>
      <c r="I42" s="9">
        <f t="shared" si="48"/>
        <v>0</v>
      </c>
      <c r="J42" s="9">
        <f t="shared" si="49"/>
        <v>0</v>
      </c>
      <c r="K42" s="9">
        <f t="shared" si="50"/>
        <v>0</v>
      </c>
      <c r="L42" s="9">
        <v>4.0000000000000003E-5</v>
      </c>
      <c r="M42" s="9">
        <f t="shared" si="51"/>
        <v>7.4840000000000009E-4</v>
      </c>
      <c r="N42" s="68" t="s">
        <v>319</v>
      </c>
      <c r="Z42" s="9">
        <f t="shared" si="52"/>
        <v>0</v>
      </c>
      <c r="AB42" s="9">
        <f t="shared" si="53"/>
        <v>0</v>
      </c>
      <c r="AC42" s="9">
        <f t="shared" si="54"/>
        <v>0</v>
      </c>
      <c r="AD42" s="9">
        <f t="shared" si="55"/>
        <v>0</v>
      </c>
      <c r="AE42" s="9">
        <f t="shared" si="56"/>
        <v>0</v>
      </c>
      <c r="AF42" s="9">
        <f t="shared" si="57"/>
        <v>0</v>
      </c>
      <c r="AG42" s="9">
        <f t="shared" si="58"/>
        <v>0</v>
      </c>
      <c r="AH42" s="9">
        <f t="shared" si="59"/>
        <v>0</v>
      </c>
      <c r="AI42" s="12" t="s">
        <v>236</v>
      </c>
      <c r="AJ42" s="9">
        <f t="shared" si="60"/>
        <v>0</v>
      </c>
      <c r="AK42" s="9">
        <f t="shared" si="61"/>
        <v>0</v>
      </c>
      <c r="AL42" s="9">
        <f t="shared" si="62"/>
        <v>0</v>
      </c>
      <c r="AN42" s="9">
        <v>21</v>
      </c>
      <c r="AO42" s="9">
        <f>H42*0.445066345</f>
        <v>0</v>
      </c>
      <c r="AP42" s="9">
        <f>H42*(1-0.445066345)</f>
        <v>0</v>
      </c>
      <c r="AQ42" s="69" t="s">
        <v>330</v>
      </c>
      <c r="AV42" s="9">
        <f t="shared" si="63"/>
        <v>0</v>
      </c>
      <c r="AW42" s="9">
        <f t="shared" si="64"/>
        <v>0</v>
      </c>
      <c r="AX42" s="9">
        <f t="shared" si="65"/>
        <v>0</v>
      </c>
      <c r="AY42" s="69" t="s">
        <v>339</v>
      </c>
      <c r="AZ42" s="69" t="s">
        <v>340</v>
      </c>
      <c r="BA42" s="12" t="s">
        <v>322</v>
      </c>
      <c r="BC42" s="9">
        <f t="shared" si="66"/>
        <v>0</v>
      </c>
      <c r="BD42" s="9">
        <f t="shared" si="67"/>
        <v>0</v>
      </c>
      <c r="BE42" s="9">
        <v>0</v>
      </c>
      <c r="BF42" s="9">
        <f t="shared" si="68"/>
        <v>7.4840000000000009E-4</v>
      </c>
      <c r="BH42" s="9">
        <f t="shared" si="69"/>
        <v>0</v>
      </c>
      <c r="BI42" s="9">
        <f t="shared" si="70"/>
        <v>0</v>
      </c>
      <c r="BJ42" s="9">
        <f t="shared" si="71"/>
        <v>0</v>
      </c>
      <c r="BK42" s="69" t="s">
        <v>26</v>
      </c>
      <c r="BL42" s="9">
        <v>771</v>
      </c>
      <c r="BW42" s="9">
        <v>21</v>
      </c>
      <c r="BX42" s="3" t="s">
        <v>85</v>
      </c>
    </row>
    <row r="43" spans="1:76" ht="14.6" x14ac:dyDescent="0.4">
      <c r="A43" s="1">
        <v>25</v>
      </c>
      <c r="B43" s="2" t="s">
        <v>236</v>
      </c>
      <c r="C43" s="2" t="s">
        <v>88</v>
      </c>
      <c r="D43" s="184" t="s">
        <v>89</v>
      </c>
      <c r="E43" s="185"/>
      <c r="F43" s="2" t="s">
        <v>71</v>
      </c>
      <c r="G43" s="9">
        <v>626.32000000000005</v>
      </c>
      <c r="H43" s="9"/>
      <c r="I43" s="9">
        <f t="shared" si="48"/>
        <v>0</v>
      </c>
      <c r="J43" s="9">
        <f t="shared" si="49"/>
        <v>0</v>
      </c>
      <c r="K43" s="9">
        <f t="shared" si="50"/>
        <v>0</v>
      </c>
      <c r="L43" s="9">
        <v>0</v>
      </c>
      <c r="M43" s="9">
        <f t="shared" si="51"/>
        <v>0</v>
      </c>
      <c r="N43" s="68" t="s">
        <v>319</v>
      </c>
      <c r="Z43" s="9">
        <f t="shared" si="52"/>
        <v>0</v>
      </c>
      <c r="AB43" s="9">
        <f t="shared" si="53"/>
        <v>0</v>
      </c>
      <c r="AC43" s="9">
        <f t="shared" si="54"/>
        <v>0</v>
      </c>
      <c r="AD43" s="9">
        <f t="shared" si="55"/>
        <v>0</v>
      </c>
      <c r="AE43" s="9">
        <f t="shared" si="56"/>
        <v>0</v>
      </c>
      <c r="AF43" s="9">
        <f t="shared" si="57"/>
        <v>0</v>
      </c>
      <c r="AG43" s="9">
        <f t="shared" si="58"/>
        <v>0</v>
      </c>
      <c r="AH43" s="9">
        <f t="shared" si="59"/>
        <v>0</v>
      </c>
      <c r="AI43" s="12" t="s">
        <v>236</v>
      </c>
      <c r="AJ43" s="9">
        <f t="shared" si="60"/>
        <v>0</v>
      </c>
      <c r="AK43" s="9">
        <f t="shared" si="61"/>
        <v>0</v>
      </c>
      <c r="AL43" s="9">
        <f t="shared" si="62"/>
        <v>0</v>
      </c>
      <c r="AN43" s="9">
        <v>21</v>
      </c>
      <c r="AO43" s="9">
        <f>H43*0</f>
        <v>0</v>
      </c>
      <c r="AP43" s="9">
        <f>H43*(1-0)</f>
        <v>0</v>
      </c>
      <c r="AQ43" s="69" t="s">
        <v>328</v>
      </c>
      <c r="AV43" s="9">
        <f t="shared" si="63"/>
        <v>0</v>
      </c>
      <c r="AW43" s="9">
        <f t="shared" si="64"/>
        <v>0</v>
      </c>
      <c r="AX43" s="9">
        <f t="shared" si="65"/>
        <v>0</v>
      </c>
      <c r="AY43" s="69" t="s">
        <v>339</v>
      </c>
      <c r="AZ43" s="69" t="s">
        <v>340</v>
      </c>
      <c r="BA43" s="12" t="s">
        <v>322</v>
      </c>
      <c r="BC43" s="9">
        <f t="shared" si="66"/>
        <v>0</v>
      </c>
      <c r="BD43" s="9">
        <f t="shared" si="67"/>
        <v>0</v>
      </c>
      <c r="BE43" s="9">
        <v>0</v>
      </c>
      <c r="BF43" s="9">
        <f t="shared" si="68"/>
        <v>0</v>
      </c>
      <c r="BH43" s="9">
        <f t="shared" si="69"/>
        <v>0</v>
      </c>
      <c r="BI43" s="9">
        <f t="shared" si="70"/>
        <v>0</v>
      </c>
      <c r="BJ43" s="9">
        <f t="shared" si="71"/>
        <v>0</v>
      </c>
      <c r="BK43" s="69" t="s">
        <v>26</v>
      </c>
      <c r="BL43" s="9">
        <v>771</v>
      </c>
      <c r="BW43" s="9">
        <v>21</v>
      </c>
      <c r="BX43" s="3" t="s">
        <v>87</v>
      </c>
    </row>
    <row r="44" spans="1:76" ht="14.6" x14ac:dyDescent="0.4">
      <c r="A44" s="70" t="s">
        <v>236</v>
      </c>
      <c r="B44" s="11" t="s">
        <v>236</v>
      </c>
      <c r="C44" s="11" t="s">
        <v>90</v>
      </c>
      <c r="D44" s="240" t="s">
        <v>91</v>
      </c>
      <c r="E44" s="241"/>
      <c r="F44" s="71" t="s">
        <v>20</v>
      </c>
      <c r="G44" s="71" t="s">
        <v>20</v>
      </c>
      <c r="H44" s="71" t="s">
        <v>20</v>
      </c>
      <c r="I44" s="13">
        <f>ROUND(SUM(I45:I46),0)</f>
        <v>0</v>
      </c>
      <c r="J44" s="13">
        <f>ROUND(SUM(J45:J46),0)</f>
        <v>0</v>
      </c>
      <c r="K44" s="13">
        <f>ROUND(SUM(K45:K46),0)</f>
        <v>0</v>
      </c>
      <c r="L44" s="12" t="s">
        <v>236</v>
      </c>
      <c r="M44" s="13">
        <f>SUM(M45:M46)</f>
        <v>8.8709800000000005E-2</v>
      </c>
      <c r="N44" s="72" t="s">
        <v>236</v>
      </c>
      <c r="AI44" s="12" t="s">
        <v>236</v>
      </c>
      <c r="AS44" s="13">
        <f>SUM(AJ45:AJ46)</f>
        <v>0</v>
      </c>
      <c r="AT44" s="13">
        <f>SUM(AK45:AK46)</f>
        <v>0</v>
      </c>
      <c r="AU44" s="13">
        <f>SUM(AL45:AL46)</f>
        <v>0</v>
      </c>
      <c r="BW44" s="9">
        <v>21</v>
      </c>
      <c r="BX44" s="3" t="s">
        <v>89</v>
      </c>
    </row>
    <row r="45" spans="1:76" ht="14.6" x14ac:dyDescent="0.4">
      <c r="A45" s="1">
        <v>26</v>
      </c>
      <c r="B45" s="2" t="s">
        <v>236</v>
      </c>
      <c r="C45" s="2" t="s">
        <v>92</v>
      </c>
      <c r="D45" s="184" t="s">
        <v>93</v>
      </c>
      <c r="E45" s="185"/>
      <c r="F45" s="2" t="s">
        <v>25</v>
      </c>
      <c r="G45" s="9">
        <v>24.91</v>
      </c>
      <c r="H45" s="9"/>
      <c r="I45" s="9">
        <f>ROUND(G45*AO45,2)</f>
        <v>0</v>
      </c>
      <c r="J45" s="9">
        <f>ROUND(G45*AP45,2)</f>
        <v>0</v>
      </c>
      <c r="K45" s="9">
        <f>ROUND(G45*H45,0)</f>
        <v>0</v>
      </c>
      <c r="L45" s="9">
        <v>3.5000000000000001E-3</v>
      </c>
      <c r="M45" s="9">
        <f>G45*L45</f>
        <v>8.7184999999999999E-2</v>
      </c>
      <c r="N45" s="68" t="s">
        <v>319</v>
      </c>
      <c r="Z45" s="9">
        <f>ROUND(IF(AQ45="5",BJ45,0),2)</f>
        <v>0</v>
      </c>
      <c r="AB45" s="9">
        <f>ROUND(IF(AQ45="1",BH45,0),2)</f>
        <v>0</v>
      </c>
      <c r="AC45" s="9">
        <f>ROUND(IF(AQ45="1",BI45,0),2)</f>
        <v>0</v>
      </c>
      <c r="AD45" s="9">
        <f>ROUND(IF(AQ45="7",BH45,0),2)</f>
        <v>0</v>
      </c>
      <c r="AE45" s="9">
        <f>ROUND(IF(AQ45="7",BI45,0),2)</f>
        <v>0</v>
      </c>
      <c r="AF45" s="9">
        <f>ROUND(IF(AQ45="2",BH45,0),2)</f>
        <v>0</v>
      </c>
      <c r="AG45" s="9">
        <f>ROUND(IF(AQ45="2",BI45,0),2)</f>
        <v>0</v>
      </c>
      <c r="AH45" s="9">
        <f>ROUND(IF(AQ45="0",BJ45,0),2)</f>
        <v>0</v>
      </c>
      <c r="AI45" s="12" t="s">
        <v>236</v>
      </c>
      <c r="AJ45" s="9">
        <f>IF(AN45=0,K45,0)</f>
        <v>0</v>
      </c>
      <c r="AK45" s="9">
        <f>IF(AN45=12,K45,0)</f>
        <v>0</v>
      </c>
      <c r="AL45" s="9">
        <f>IF(AN45=21,K45,0)</f>
        <v>0</v>
      </c>
      <c r="AN45" s="9">
        <v>21</v>
      </c>
      <c r="AO45" s="9">
        <f>H45*0</f>
        <v>0</v>
      </c>
      <c r="AP45" s="9">
        <f>H45*(1-0)</f>
        <v>0</v>
      </c>
      <c r="AQ45" s="69" t="s">
        <v>330</v>
      </c>
      <c r="AV45" s="9">
        <f>ROUND(AW45+AX45,2)</f>
        <v>0</v>
      </c>
      <c r="AW45" s="9">
        <f>ROUND(G45*AO45,2)</f>
        <v>0</v>
      </c>
      <c r="AX45" s="9">
        <f>ROUND(G45*AP45,2)</f>
        <v>0</v>
      </c>
      <c r="AY45" s="69" t="s">
        <v>341</v>
      </c>
      <c r="AZ45" s="69" t="s">
        <v>340</v>
      </c>
      <c r="BA45" s="12" t="s">
        <v>322</v>
      </c>
      <c r="BC45" s="9">
        <f>AW45+AX45</f>
        <v>0</v>
      </c>
      <c r="BD45" s="9">
        <f>H45/(100-BE45)*100</f>
        <v>0</v>
      </c>
      <c r="BE45" s="9">
        <v>0</v>
      </c>
      <c r="BF45" s="9">
        <f>M45</f>
        <v>8.7184999999999999E-2</v>
      </c>
      <c r="BH45" s="9">
        <f>G45*AO45</f>
        <v>0</v>
      </c>
      <c r="BI45" s="9">
        <f>G45*AP45</f>
        <v>0</v>
      </c>
      <c r="BJ45" s="9">
        <f>G45*H45</f>
        <v>0</v>
      </c>
      <c r="BK45" s="69" t="s">
        <v>26</v>
      </c>
      <c r="BL45" s="9">
        <v>776</v>
      </c>
    </row>
    <row r="46" spans="1:76" ht="14.6" x14ac:dyDescent="0.4">
      <c r="A46" s="1">
        <v>27</v>
      </c>
      <c r="B46" s="2" t="s">
        <v>236</v>
      </c>
      <c r="C46" s="2" t="s">
        <v>94</v>
      </c>
      <c r="D46" s="184" t="s">
        <v>95</v>
      </c>
      <c r="E46" s="185"/>
      <c r="F46" s="2" t="s">
        <v>68</v>
      </c>
      <c r="G46" s="9">
        <v>19.059999999999999</v>
      </c>
      <c r="H46" s="9"/>
      <c r="I46" s="9">
        <f>ROUND(G46*AO46,2)</f>
        <v>0</v>
      </c>
      <c r="J46" s="9">
        <f>ROUND(G46*AP46,2)</f>
        <v>0</v>
      </c>
      <c r="K46" s="9">
        <f>ROUND(G46*H46,0)</f>
        <v>0</v>
      </c>
      <c r="L46" s="9">
        <v>8.0000000000000007E-5</v>
      </c>
      <c r="M46" s="9">
        <f>G46*L46</f>
        <v>1.5248E-3</v>
      </c>
      <c r="N46" s="68" t="s">
        <v>319</v>
      </c>
      <c r="Z46" s="9">
        <f>ROUND(IF(AQ46="5",BJ46,0),2)</f>
        <v>0</v>
      </c>
      <c r="AB46" s="9">
        <f>ROUND(IF(AQ46="1",BH46,0),2)</f>
        <v>0</v>
      </c>
      <c r="AC46" s="9">
        <f>ROUND(IF(AQ46="1",BI46,0),2)</f>
        <v>0</v>
      </c>
      <c r="AD46" s="9">
        <f>ROUND(IF(AQ46="7",BH46,0),2)</f>
        <v>0</v>
      </c>
      <c r="AE46" s="9">
        <f>ROUND(IF(AQ46="7",BI46,0),2)</f>
        <v>0</v>
      </c>
      <c r="AF46" s="9">
        <f>ROUND(IF(AQ46="2",BH46,0),2)</f>
        <v>0</v>
      </c>
      <c r="AG46" s="9">
        <f>ROUND(IF(AQ46="2",BI46,0),2)</f>
        <v>0</v>
      </c>
      <c r="AH46" s="9">
        <f>ROUND(IF(AQ46="0",BJ46,0),2)</f>
        <v>0</v>
      </c>
      <c r="AI46" s="12" t="s">
        <v>236</v>
      </c>
      <c r="AJ46" s="9">
        <f>IF(AN46=0,K46,0)</f>
        <v>0</v>
      </c>
      <c r="AK46" s="9">
        <f>IF(AN46=12,K46,0)</f>
        <v>0</v>
      </c>
      <c r="AL46" s="9">
        <f>IF(AN46=21,K46,0)</f>
        <v>0</v>
      </c>
      <c r="AN46" s="9">
        <v>21</v>
      </c>
      <c r="AO46" s="9">
        <f>H46*0</f>
        <v>0</v>
      </c>
      <c r="AP46" s="9">
        <f>H46*(1-0)</f>
        <v>0</v>
      </c>
      <c r="AQ46" s="69" t="s">
        <v>330</v>
      </c>
      <c r="AV46" s="9">
        <f>ROUND(AW46+AX46,2)</f>
        <v>0</v>
      </c>
      <c r="AW46" s="9">
        <f>ROUND(G46*AO46,2)</f>
        <v>0</v>
      </c>
      <c r="AX46" s="9">
        <f>ROUND(G46*AP46,2)</f>
        <v>0</v>
      </c>
      <c r="AY46" s="69" t="s">
        <v>341</v>
      </c>
      <c r="AZ46" s="69" t="s">
        <v>340</v>
      </c>
      <c r="BA46" s="12" t="s">
        <v>322</v>
      </c>
      <c r="BC46" s="9">
        <f>AW46+AX46</f>
        <v>0</v>
      </c>
      <c r="BD46" s="9">
        <f>H46/(100-BE46)*100</f>
        <v>0</v>
      </c>
      <c r="BE46" s="9">
        <v>0</v>
      </c>
      <c r="BF46" s="9">
        <f>M46</f>
        <v>1.5248E-3</v>
      </c>
      <c r="BH46" s="9">
        <f>G46*AO46</f>
        <v>0</v>
      </c>
      <c r="BI46" s="9">
        <f>G46*AP46</f>
        <v>0</v>
      </c>
      <c r="BJ46" s="9">
        <f>G46*H46</f>
        <v>0</v>
      </c>
      <c r="BK46" s="69" t="s">
        <v>26</v>
      </c>
      <c r="BL46" s="9">
        <v>776</v>
      </c>
      <c r="BW46" s="9">
        <v>21</v>
      </c>
      <c r="BX46" s="3" t="s">
        <v>93</v>
      </c>
    </row>
    <row r="47" spans="1:76" ht="14.6" x14ac:dyDescent="0.4">
      <c r="A47" s="70" t="s">
        <v>236</v>
      </c>
      <c r="B47" s="11" t="s">
        <v>236</v>
      </c>
      <c r="C47" s="11" t="s">
        <v>96</v>
      </c>
      <c r="D47" s="240" t="s">
        <v>97</v>
      </c>
      <c r="E47" s="241"/>
      <c r="F47" s="71" t="s">
        <v>20</v>
      </c>
      <c r="G47" s="71" t="s">
        <v>20</v>
      </c>
      <c r="H47" s="71" t="s">
        <v>20</v>
      </c>
      <c r="I47" s="13">
        <f>ROUND(SUM(I48:I51),0)</f>
        <v>0</v>
      </c>
      <c r="J47" s="13">
        <f>ROUND(SUM(J48:J51),0)</f>
        <v>0</v>
      </c>
      <c r="K47" s="13">
        <f>ROUND(SUM(K48:K51),0)</f>
        <v>0</v>
      </c>
      <c r="L47" s="12" t="s">
        <v>236</v>
      </c>
      <c r="M47" s="13">
        <f>SUM(M48:M51)</f>
        <v>0.15070549999999999</v>
      </c>
      <c r="N47" s="72" t="s">
        <v>236</v>
      </c>
      <c r="AI47" s="12" t="s">
        <v>236</v>
      </c>
      <c r="AS47" s="13">
        <f>SUM(AJ48:AJ51)</f>
        <v>0</v>
      </c>
      <c r="AT47" s="13">
        <f>SUM(AK48:AK51)</f>
        <v>0</v>
      </c>
      <c r="AU47" s="13">
        <f>SUM(AL48:AL51)</f>
        <v>0</v>
      </c>
      <c r="BW47" s="9">
        <v>21</v>
      </c>
      <c r="BX47" s="3" t="s">
        <v>95</v>
      </c>
    </row>
    <row r="48" spans="1:76" ht="14.6" x14ac:dyDescent="0.4">
      <c r="A48" s="1">
        <v>28</v>
      </c>
      <c r="B48" s="2" t="s">
        <v>236</v>
      </c>
      <c r="C48" s="2" t="s">
        <v>98</v>
      </c>
      <c r="D48" s="184" t="s">
        <v>491</v>
      </c>
      <c r="E48" s="185"/>
      <c r="F48" s="2" t="s">
        <v>25</v>
      </c>
      <c r="G48" s="9">
        <v>24.91</v>
      </c>
      <c r="H48" s="9"/>
      <c r="I48" s="9">
        <f>ROUND(G48*AO48,2)</f>
        <v>0</v>
      </c>
      <c r="J48" s="9">
        <f>ROUND(G48*AP48,2)</f>
        <v>0</v>
      </c>
      <c r="K48" s="9">
        <f>ROUND(G48*H48,0)</f>
        <v>0</v>
      </c>
      <c r="L48" s="9">
        <v>5.0000000000000002E-5</v>
      </c>
      <c r="M48" s="9">
        <f>G48*L48</f>
        <v>1.2455000000000001E-3</v>
      </c>
      <c r="N48" s="68" t="s">
        <v>319</v>
      </c>
      <c r="Z48" s="9">
        <f>ROUND(IF(AQ48="5",BJ48,0),2)</f>
        <v>0</v>
      </c>
      <c r="AB48" s="9">
        <f>ROUND(IF(AQ48="1",BH48,0),2)</f>
        <v>0</v>
      </c>
      <c r="AC48" s="9">
        <f>ROUND(IF(AQ48="1",BI48,0),2)</f>
        <v>0</v>
      </c>
      <c r="AD48" s="9">
        <f>ROUND(IF(AQ48="7",BH48,0),2)</f>
        <v>0</v>
      </c>
      <c r="AE48" s="9">
        <f>ROUND(IF(AQ48="7",BI48,0),2)</f>
        <v>0</v>
      </c>
      <c r="AF48" s="9">
        <f>ROUND(IF(AQ48="2",BH48,0),2)</f>
        <v>0</v>
      </c>
      <c r="AG48" s="9">
        <f>ROUND(IF(AQ48="2",BI48,0),2)</f>
        <v>0</v>
      </c>
      <c r="AH48" s="9">
        <f>ROUND(IF(AQ48="0",BJ48,0),2)</f>
        <v>0</v>
      </c>
      <c r="AI48" s="12" t="s">
        <v>236</v>
      </c>
      <c r="AJ48" s="9">
        <f>IF(AN48=0,K48,0)</f>
        <v>0</v>
      </c>
      <c r="AK48" s="9">
        <f>IF(AN48=12,K48,0)</f>
        <v>0</v>
      </c>
      <c r="AL48" s="9">
        <f>IF(AN48=21,K48,0)</f>
        <v>0</v>
      </c>
      <c r="AN48" s="9">
        <v>21</v>
      </c>
      <c r="AO48" s="9">
        <f>H48*0.147033708</f>
        <v>0</v>
      </c>
      <c r="AP48" s="9">
        <f>H48*(1-0.147033708)</f>
        <v>0</v>
      </c>
      <c r="AQ48" s="69" t="s">
        <v>330</v>
      </c>
      <c r="AV48" s="9">
        <f>ROUND(AW48+AX48,2)</f>
        <v>0</v>
      </c>
      <c r="AW48" s="9">
        <f>ROUND(G48*AO48,2)</f>
        <v>0</v>
      </c>
      <c r="AX48" s="9">
        <f>ROUND(G48*AP48,2)</f>
        <v>0</v>
      </c>
      <c r="AY48" s="69" t="s">
        <v>342</v>
      </c>
      <c r="AZ48" s="69" t="s">
        <v>340</v>
      </c>
      <c r="BA48" s="12" t="s">
        <v>322</v>
      </c>
      <c r="BC48" s="9">
        <f>AW48+AX48</f>
        <v>0</v>
      </c>
      <c r="BD48" s="9">
        <f>H48/(100-BE48)*100</f>
        <v>0</v>
      </c>
      <c r="BE48" s="9">
        <v>0</v>
      </c>
      <c r="BF48" s="9">
        <f>M48</f>
        <v>1.2455000000000001E-3</v>
      </c>
      <c r="BH48" s="9">
        <f>G48*AO48</f>
        <v>0</v>
      </c>
      <c r="BI48" s="9">
        <f>G48*AP48</f>
        <v>0</v>
      </c>
      <c r="BJ48" s="9">
        <f>G48*H48</f>
        <v>0</v>
      </c>
      <c r="BK48" s="69" t="s">
        <v>26</v>
      </c>
      <c r="BL48" s="9">
        <v>777</v>
      </c>
    </row>
    <row r="49" spans="1:76" ht="14.6" x14ac:dyDescent="0.4">
      <c r="A49" s="1">
        <v>29</v>
      </c>
      <c r="B49" s="2" t="s">
        <v>236</v>
      </c>
      <c r="C49" s="2" t="s">
        <v>100</v>
      </c>
      <c r="D49" s="184" t="s">
        <v>492</v>
      </c>
      <c r="E49" s="185"/>
      <c r="F49" s="2" t="s">
        <v>25</v>
      </c>
      <c r="G49" s="9">
        <v>24.91</v>
      </c>
      <c r="H49" s="9"/>
      <c r="I49" s="9">
        <f>ROUND(G49*AO49,2)</f>
        <v>0</v>
      </c>
      <c r="J49" s="9">
        <f>ROUND(G49*AP49,2)</f>
        <v>0</v>
      </c>
      <c r="K49" s="9">
        <f>ROUND(G49*H49,0)</f>
        <v>0</v>
      </c>
      <c r="L49" s="9">
        <v>3.0000000000000001E-3</v>
      </c>
      <c r="M49" s="9">
        <f>G49*L49</f>
        <v>7.4730000000000005E-2</v>
      </c>
      <c r="N49" s="68" t="s">
        <v>319</v>
      </c>
      <c r="Z49" s="9">
        <f>ROUND(IF(AQ49="5",BJ49,0),2)</f>
        <v>0</v>
      </c>
      <c r="AB49" s="9">
        <f>ROUND(IF(AQ49="1",BH49,0),2)</f>
        <v>0</v>
      </c>
      <c r="AC49" s="9">
        <f>ROUND(IF(AQ49="1",BI49,0),2)</f>
        <v>0</v>
      </c>
      <c r="AD49" s="9">
        <f>ROUND(IF(AQ49="7",BH49,0),2)</f>
        <v>0</v>
      </c>
      <c r="AE49" s="9">
        <f>ROUND(IF(AQ49="7",BI49,0),2)</f>
        <v>0</v>
      </c>
      <c r="AF49" s="9">
        <f>ROUND(IF(AQ49="2",BH49,0),2)</f>
        <v>0</v>
      </c>
      <c r="AG49" s="9">
        <f>ROUND(IF(AQ49="2",BI49,0),2)</f>
        <v>0</v>
      </c>
      <c r="AH49" s="9">
        <f>ROUND(IF(AQ49="0",BJ49,0),2)</f>
        <v>0</v>
      </c>
      <c r="AI49" s="12" t="s">
        <v>236</v>
      </c>
      <c r="AJ49" s="9">
        <f>IF(AN49=0,K49,0)</f>
        <v>0</v>
      </c>
      <c r="AK49" s="9">
        <f>IF(AN49=12,K49,0)</f>
        <v>0</v>
      </c>
      <c r="AL49" s="9">
        <f>IF(AN49=21,K49,0)</f>
        <v>0</v>
      </c>
      <c r="AN49" s="9">
        <v>21</v>
      </c>
      <c r="AO49" s="9">
        <f>H49*0.198621572</f>
        <v>0</v>
      </c>
      <c r="AP49" s="9">
        <f>H49*(1-0.198621572)</f>
        <v>0</v>
      </c>
      <c r="AQ49" s="69" t="s">
        <v>330</v>
      </c>
      <c r="AV49" s="9">
        <f>ROUND(AW49+AX49,2)</f>
        <v>0</v>
      </c>
      <c r="AW49" s="9">
        <f>ROUND(G49*AO49,2)</f>
        <v>0</v>
      </c>
      <c r="AX49" s="9">
        <f>ROUND(G49*AP49,2)</f>
        <v>0</v>
      </c>
      <c r="AY49" s="69" t="s">
        <v>342</v>
      </c>
      <c r="AZ49" s="69" t="s">
        <v>340</v>
      </c>
      <c r="BA49" s="12" t="s">
        <v>322</v>
      </c>
      <c r="BC49" s="9">
        <f>AW49+AX49</f>
        <v>0</v>
      </c>
      <c r="BD49" s="9">
        <f>H49/(100-BE49)*100</f>
        <v>0</v>
      </c>
      <c r="BE49" s="9">
        <v>0</v>
      </c>
      <c r="BF49" s="9">
        <f>M49</f>
        <v>7.4730000000000005E-2</v>
      </c>
      <c r="BH49" s="9">
        <f>G49*AO49</f>
        <v>0</v>
      </c>
      <c r="BI49" s="9">
        <f>G49*AP49</f>
        <v>0</v>
      </c>
      <c r="BJ49" s="9">
        <f>G49*H49</f>
        <v>0</v>
      </c>
      <c r="BK49" s="69" t="s">
        <v>26</v>
      </c>
      <c r="BL49" s="9">
        <v>777</v>
      </c>
      <c r="BW49" s="9">
        <v>21</v>
      </c>
      <c r="BX49" s="3" t="s">
        <v>99</v>
      </c>
    </row>
    <row r="50" spans="1:76" ht="14.6" x14ac:dyDescent="0.4">
      <c r="A50" s="1">
        <v>30</v>
      </c>
      <c r="B50" s="2" t="s">
        <v>236</v>
      </c>
      <c r="C50" s="2" t="s">
        <v>102</v>
      </c>
      <c r="D50" s="184" t="s">
        <v>459</v>
      </c>
      <c r="E50" s="185"/>
      <c r="F50" s="2" t="s">
        <v>25</v>
      </c>
      <c r="G50" s="9">
        <v>24.91</v>
      </c>
      <c r="H50" s="9"/>
      <c r="I50" s="9">
        <f>ROUND(G50*AO50,2)</f>
        <v>0</v>
      </c>
      <c r="J50" s="9">
        <f>ROUND(G50*AP50,2)</f>
        <v>0</v>
      </c>
      <c r="K50" s="9">
        <f>ROUND(G50*H50,0)</f>
        <v>0</v>
      </c>
      <c r="L50" s="9">
        <v>3.0000000000000001E-3</v>
      </c>
      <c r="M50" s="9">
        <f>G50*L50</f>
        <v>7.4730000000000005E-2</v>
      </c>
      <c r="N50" s="68" t="s">
        <v>319</v>
      </c>
      <c r="Z50" s="9">
        <f>ROUND(IF(AQ50="5",BJ50,0),2)</f>
        <v>0</v>
      </c>
      <c r="AB50" s="9">
        <f>ROUND(IF(AQ50="1",BH50,0),2)</f>
        <v>0</v>
      </c>
      <c r="AC50" s="9">
        <f>ROUND(IF(AQ50="1",BI50,0),2)</f>
        <v>0</v>
      </c>
      <c r="AD50" s="9">
        <f>ROUND(IF(AQ50="7",BH50,0),2)</f>
        <v>0</v>
      </c>
      <c r="AE50" s="9">
        <f>ROUND(IF(AQ50="7",BI50,0),2)</f>
        <v>0</v>
      </c>
      <c r="AF50" s="9">
        <f>ROUND(IF(AQ50="2",BH50,0),2)</f>
        <v>0</v>
      </c>
      <c r="AG50" s="9">
        <f>ROUND(IF(AQ50="2",BI50,0),2)</f>
        <v>0</v>
      </c>
      <c r="AH50" s="9">
        <f>ROUND(IF(AQ50="0",BJ50,0),2)</f>
        <v>0</v>
      </c>
      <c r="AI50" s="12" t="s">
        <v>236</v>
      </c>
      <c r="AJ50" s="9">
        <f>IF(AN50=0,K50,0)</f>
        <v>0</v>
      </c>
      <c r="AK50" s="9">
        <f>IF(AN50=12,K50,0)</f>
        <v>0</v>
      </c>
      <c r="AL50" s="9">
        <f>IF(AN50=21,K50,0)</f>
        <v>0</v>
      </c>
      <c r="AN50" s="9">
        <v>21</v>
      </c>
      <c r="AO50" s="9">
        <f>H50*0.816330222</f>
        <v>0</v>
      </c>
      <c r="AP50" s="9">
        <f>H50*(1-0.816330222)</f>
        <v>0</v>
      </c>
      <c r="AQ50" s="69" t="s">
        <v>330</v>
      </c>
      <c r="AV50" s="9">
        <f>ROUND(AW50+AX50,2)</f>
        <v>0</v>
      </c>
      <c r="AW50" s="9">
        <f>ROUND(G50*AO50,2)</f>
        <v>0</v>
      </c>
      <c r="AX50" s="9">
        <f>ROUND(G50*AP50,2)</f>
        <v>0</v>
      </c>
      <c r="AY50" s="69" t="s">
        <v>342</v>
      </c>
      <c r="AZ50" s="69" t="s">
        <v>340</v>
      </c>
      <c r="BA50" s="12" t="s">
        <v>322</v>
      </c>
      <c r="BC50" s="9">
        <f>AW50+AX50</f>
        <v>0</v>
      </c>
      <c r="BD50" s="9">
        <f>H50/(100-BE50)*100</f>
        <v>0</v>
      </c>
      <c r="BE50" s="9">
        <v>0</v>
      </c>
      <c r="BF50" s="9">
        <f>M50</f>
        <v>7.4730000000000005E-2</v>
      </c>
      <c r="BH50" s="9">
        <f>G50*AO50</f>
        <v>0</v>
      </c>
      <c r="BI50" s="9">
        <f>G50*AP50</f>
        <v>0</v>
      </c>
      <c r="BJ50" s="9">
        <f>G50*H50</f>
        <v>0</v>
      </c>
      <c r="BK50" s="69" t="s">
        <v>26</v>
      </c>
      <c r="BL50" s="9">
        <v>777</v>
      </c>
      <c r="BW50" s="9">
        <v>21</v>
      </c>
      <c r="BX50" s="3" t="s">
        <v>101</v>
      </c>
    </row>
    <row r="51" spans="1:76" ht="14.6" x14ac:dyDescent="0.4">
      <c r="A51" s="1">
        <v>31</v>
      </c>
      <c r="B51" s="2" t="s">
        <v>236</v>
      </c>
      <c r="C51" s="2" t="s">
        <v>104</v>
      </c>
      <c r="D51" s="184" t="s">
        <v>105</v>
      </c>
      <c r="E51" s="185"/>
      <c r="F51" s="2" t="s">
        <v>71</v>
      </c>
      <c r="G51" s="9">
        <v>100.86</v>
      </c>
      <c r="H51" s="9"/>
      <c r="I51" s="9">
        <f>ROUND(G51*AO51,2)</f>
        <v>0</v>
      </c>
      <c r="J51" s="9">
        <f>ROUND(G51*AP51,2)</f>
        <v>0</v>
      </c>
      <c r="K51" s="9">
        <f>ROUND(G51*H51,0)</f>
        <v>0</v>
      </c>
      <c r="L51" s="9">
        <v>0</v>
      </c>
      <c r="M51" s="9">
        <f>G51*L51</f>
        <v>0</v>
      </c>
      <c r="N51" s="68" t="s">
        <v>319</v>
      </c>
      <c r="Z51" s="9">
        <f>ROUND(IF(AQ51="5",BJ51,0),2)</f>
        <v>0</v>
      </c>
      <c r="AB51" s="9">
        <f>ROUND(IF(AQ51="1",BH51,0),2)</f>
        <v>0</v>
      </c>
      <c r="AC51" s="9">
        <f>ROUND(IF(AQ51="1",BI51,0),2)</f>
        <v>0</v>
      </c>
      <c r="AD51" s="9">
        <f>ROUND(IF(AQ51="7",BH51,0),2)</f>
        <v>0</v>
      </c>
      <c r="AE51" s="9">
        <f>ROUND(IF(AQ51="7",BI51,0),2)</f>
        <v>0</v>
      </c>
      <c r="AF51" s="9">
        <f>ROUND(IF(AQ51="2",BH51,0),2)</f>
        <v>0</v>
      </c>
      <c r="AG51" s="9">
        <f>ROUND(IF(AQ51="2",BI51,0),2)</f>
        <v>0</v>
      </c>
      <c r="AH51" s="9">
        <f>ROUND(IF(AQ51="0",BJ51,0),2)</f>
        <v>0</v>
      </c>
      <c r="AI51" s="12" t="s">
        <v>236</v>
      </c>
      <c r="AJ51" s="9">
        <f>IF(AN51=0,K51,0)</f>
        <v>0</v>
      </c>
      <c r="AK51" s="9">
        <f>IF(AN51=12,K51,0)</f>
        <v>0</v>
      </c>
      <c r="AL51" s="9">
        <f>IF(AN51=21,K51,0)</f>
        <v>0</v>
      </c>
      <c r="AN51" s="9">
        <v>21</v>
      </c>
      <c r="AO51" s="9">
        <f>H51*0</f>
        <v>0</v>
      </c>
      <c r="AP51" s="9">
        <f>H51*(1-0)</f>
        <v>0</v>
      </c>
      <c r="AQ51" s="69" t="s">
        <v>328</v>
      </c>
      <c r="AV51" s="9">
        <f>ROUND(AW51+AX51,2)</f>
        <v>0</v>
      </c>
      <c r="AW51" s="9">
        <f>ROUND(G51*AO51,2)</f>
        <v>0</v>
      </c>
      <c r="AX51" s="9">
        <f>ROUND(G51*AP51,2)</f>
        <v>0</v>
      </c>
      <c r="AY51" s="69" t="s">
        <v>342</v>
      </c>
      <c r="AZ51" s="69" t="s">
        <v>340</v>
      </c>
      <c r="BA51" s="12" t="s">
        <v>322</v>
      </c>
      <c r="BC51" s="9">
        <f>AW51+AX51</f>
        <v>0</v>
      </c>
      <c r="BD51" s="9">
        <f>H51/(100-BE51)*100</f>
        <v>0</v>
      </c>
      <c r="BE51" s="9">
        <v>0</v>
      </c>
      <c r="BF51" s="9">
        <f>M51</f>
        <v>0</v>
      </c>
      <c r="BH51" s="9">
        <f>G51*AO51</f>
        <v>0</v>
      </c>
      <c r="BI51" s="9">
        <f>G51*AP51</f>
        <v>0</v>
      </c>
      <c r="BJ51" s="9">
        <f>G51*H51</f>
        <v>0</v>
      </c>
      <c r="BK51" s="69" t="s">
        <v>26</v>
      </c>
      <c r="BL51" s="9">
        <v>777</v>
      </c>
      <c r="BW51" s="9">
        <v>21</v>
      </c>
      <c r="BX51" s="3" t="s">
        <v>103</v>
      </c>
    </row>
    <row r="52" spans="1:76" ht="14.6" x14ac:dyDescent="0.4">
      <c r="A52" s="70" t="s">
        <v>236</v>
      </c>
      <c r="B52" s="11" t="s">
        <v>236</v>
      </c>
      <c r="C52" s="11" t="s">
        <v>106</v>
      </c>
      <c r="D52" s="240" t="s">
        <v>107</v>
      </c>
      <c r="E52" s="241"/>
      <c r="F52" s="71" t="s">
        <v>20</v>
      </c>
      <c r="G52" s="71" t="s">
        <v>20</v>
      </c>
      <c r="H52" s="71" t="s">
        <v>20</v>
      </c>
      <c r="I52" s="13">
        <f>ROUND(SUM(I53:I59),0)</f>
        <v>0</v>
      </c>
      <c r="J52" s="13">
        <f>ROUND(SUM(J53:J59),0)</f>
        <v>0</v>
      </c>
      <c r="K52" s="13">
        <f>ROUND(SUM(K53:K59),0)</f>
        <v>0</v>
      </c>
      <c r="L52" s="12" t="s">
        <v>236</v>
      </c>
      <c r="M52" s="13">
        <f>SUM(M53:M59)</f>
        <v>0.13575030000000002</v>
      </c>
      <c r="N52" s="72" t="s">
        <v>236</v>
      </c>
      <c r="AI52" s="12" t="s">
        <v>236</v>
      </c>
      <c r="AS52" s="13">
        <f>SUM(AJ53:AJ59)</f>
        <v>0</v>
      </c>
      <c r="AT52" s="13">
        <f>SUM(AK53:AK59)</f>
        <v>0</v>
      </c>
      <c r="AU52" s="13">
        <f>SUM(AL53:AL59)</f>
        <v>0</v>
      </c>
      <c r="BW52" s="9">
        <v>21</v>
      </c>
      <c r="BX52" s="3" t="s">
        <v>105</v>
      </c>
    </row>
    <row r="53" spans="1:76" ht="14.6" x14ac:dyDescent="0.4">
      <c r="A53" s="1">
        <v>32</v>
      </c>
      <c r="B53" s="2" t="s">
        <v>236</v>
      </c>
      <c r="C53" s="2" t="s">
        <v>108</v>
      </c>
      <c r="D53" s="184" t="s">
        <v>109</v>
      </c>
      <c r="E53" s="185"/>
      <c r="F53" s="2" t="s">
        <v>25</v>
      </c>
      <c r="G53" s="9">
        <v>24.91</v>
      </c>
      <c r="H53" s="9"/>
      <c r="I53" s="9">
        <f t="shared" ref="I53:I59" si="72">ROUND(G53*AO53,2)</f>
        <v>0</v>
      </c>
      <c r="J53" s="9">
        <f t="shared" ref="J53:J59" si="73">ROUND(G53*AP53,2)</f>
        <v>0</v>
      </c>
      <c r="K53" s="9">
        <f t="shared" ref="K53:K59" si="74">ROUND(G53*H53,0)</f>
        <v>0</v>
      </c>
      <c r="L53" s="9">
        <v>3.5E-4</v>
      </c>
      <c r="M53" s="9">
        <f t="shared" ref="M53:M59" si="75">G53*L53</f>
        <v>8.7185000000000006E-3</v>
      </c>
      <c r="N53" s="68" t="s">
        <v>319</v>
      </c>
      <c r="Z53" s="9">
        <f t="shared" ref="Z53:Z59" si="76">ROUND(IF(AQ53="5",BJ53,0),2)</f>
        <v>0</v>
      </c>
      <c r="AB53" s="9">
        <f t="shared" ref="AB53:AB59" si="77">ROUND(IF(AQ53="1",BH53,0),2)</f>
        <v>0</v>
      </c>
      <c r="AC53" s="9">
        <f t="shared" ref="AC53:AC59" si="78">ROUND(IF(AQ53="1",BI53,0),2)</f>
        <v>0</v>
      </c>
      <c r="AD53" s="9">
        <f t="shared" ref="AD53:AD59" si="79">ROUND(IF(AQ53="7",BH53,0),2)</f>
        <v>0</v>
      </c>
      <c r="AE53" s="9">
        <f t="shared" ref="AE53:AE59" si="80">ROUND(IF(AQ53="7",BI53,0),2)</f>
        <v>0</v>
      </c>
      <c r="AF53" s="9">
        <f t="shared" ref="AF53:AF59" si="81">ROUND(IF(AQ53="2",BH53,0),2)</f>
        <v>0</v>
      </c>
      <c r="AG53" s="9">
        <f t="shared" ref="AG53:AG59" si="82">ROUND(IF(AQ53="2",BI53,0),2)</f>
        <v>0</v>
      </c>
      <c r="AH53" s="9">
        <f t="shared" ref="AH53:AH59" si="83">ROUND(IF(AQ53="0",BJ53,0),2)</f>
        <v>0</v>
      </c>
      <c r="AI53" s="12" t="s">
        <v>236</v>
      </c>
      <c r="AJ53" s="9">
        <f t="shared" ref="AJ53:AJ59" si="84">IF(AN53=0,K53,0)</f>
        <v>0</v>
      </c>
      <c r="AK53" s="9">
        <f t="shared" ref="AK53:AK59" si="85">IF(AN53=12,K53,0)</f>
        <v>0</v>
      </c>
      <c r="AL53" s="9">
        <f t="shared" ref="AL53:AL59" si="86">IF(AN53=21,K53,0)</f>
        <v>0</v>
      </c>
      <c r="AN53" s="9">
        <v>21</v>
      </c>
      <c r="AO53" s="9">
        <f>H53*0.577537037</f>
        <v>0</v>
      </c>
      <c r="AP53" s="9">
        <f>H53*(1-0.577537037)</f>
        <v>0</v>
      </c>
      <c r="AQ53" s="69" t="s">
        <v>330</v>
      </c>
      <c r="AV53" s="9">
        <f t="shared" ref="AV53:AV59" si="87">ROUND(AW53+AX53,2)</f>
        <v>0</v>
      </c>
      <c r="AW53" s="9">
        <f t="shared" ref="AW53:AW59" si="88">ROUND(G53*AO53,2)</f>
        <v>0</v>
      </c>
      <c r="AX53" s="9">
        <f t="shared" ref="AX53:AX59" si="89">ROUND(G53*AP53,2)</f>
        <v>0</v>
      </c>
      <c r="AY53" s="69" t="s">
        <v>343</v>
      </c>
      <c r="AZ53" s="69" t="s">
        <v>344</v>
      </c>
      <c r="BA53" s="12" t="s">
        <v>322</v>
      </c>
      <c r="BC53" s="9">
        <f t="shared" ref="BC53:BC59" si="90">AW53+AX53</f>
        <v>0</v>
      </c>
      <c r="BD53" s="9">
        <f t="shared" ref="BD53:BD59" si="91">H53/(100-BE53)*100</f>
        <v>0</v>
      </c>
      <c r="BE53" s="9">
        <v>0</v>
      </c>
      <c r="BF53" s="9">
        <f t="shared" ref="BF53:BF59" si="92">M53</f>
        <v>8.7185000000000006E-3</v>
      </c>
      <c r="BH53" s="9">
        <f t="shared" ref="BH53:BH59" si="93">G53*AO53</f>
        <v>0</v>
      </c>
      <c r="BI53" s="9">
        <f t="shared" ref="BI53:BI59" si="94">G53*AP53</f>
        <v>0</v>
      </c>
      <c r="BJ53" s="9">
        <f t="shared" ref="BJ53:BJ59" si="95">G53*H53</f>
        <v>0</v>
      </c>
      <c r="BK53" s="69" t="s">
        <v>26</v>
      </c>
      <c r="BL53" s="9">
        <v>784</v>
      </c>
    </row>
    <row r="54" spans="1:76" ht="14.6" x14ac:dyDescent="0.4">
      <c r="A54" s="1">
        <v>33</v>
      </c>
      <c r="B54" s="2" t="s">
        <v>236</v>
      </c>
      <c r="C54" s="2" t="s">
        <v>110</v>
      </c>
      <c r="D54" s="184" t="s">
        <v>111</v>
      </c>
      <c r="E54" s="185"/>
      <c r="F54" s="2" t="s">
        <v>25</v>
      </c>
      <c r="G54" s="9">
        <v>6.43</v>
      </c>
      <c r="H54" s="9"/>
      <c r="I54" s="9">
        <f t="shared" si="72"/>
        <v>0</v>
      </c>
      <c r="J54" s="9">
        <f t="shared" si="73"/>
        <v>0</v>
      </c>
      <c r="K54" s="9">
        <f t="shared" si="74"/>
        <v>0</v>
      </c>
      <c r="L54" s="9">
        <v>1.0000000000000001E-5</v>
      </c>
      <c r="M54" s="9">
        <f t="shared" si="75"/>
        <v>6.4300000000000004E-5</v>
      </c>
      <c r="N54" s="68" t="s">
        <v>319</v>
      </c>
      <c r="Z54" s="9">
        <f t="shared" si="76"/>
        <v>0</v>
      </c>
      <c r="AB54" s="9">
        <f t="shared" si="77"/>
        <v>0</v>
      </c>
      <c r="AC54" s="9">
        <f t="shared" si="78"/>
        <v>0</v>
      </c>
      <c r="AD54" s="9">
        <f t="shared" si="79"/>
        <v>0</v>
      </c>
      <c r="AE54" s="9">
        <f t="shared" si="80"/>
        <v>0</v>
      </c>
      <c r="AF54" s="9">
        <f t="shared" si="81"/>
        <v>0</v>
      </c>
      <c r="AG54" s="9">
        <f t="shared" si="82"/>
        <v>0</v>
      </c>
      <c r="AH54" s="9">
        <f t="shared" si="83"/>
        <v>0</v>
      </c>
      <c r="AI54" s="12" t="s">
        <v>236</v>
      </c>
      <c r="AJ54" s="9">
        <f t="shared" si="84"/>
        <v>0</v>
      </c>
      <c r="AK54" s="9">
        <f t="shared" si="85"/>
        <v>0</v>
      </c>
      <c r="AL54" s="9">
        <f t="shared" si="86"/>
        <v>0</v>
      </c>
      <c r="AN54" s="9">
        <v>21</v>
      </c>
      <c r="AO54" s="9">
        <f>H54*0.237185629</f>
        <v>0</v>
      </c>
      <c r="AP54" s="9">
        <f>H54*(1-0.237185629)</f>
        <v>0</v>
      </c>
      <c r="AQ54" s="69" t="s">
        <v>330</v>
      </c>
      <c r="AV54" s="9">
        <f t="shared" si="87"/>
        <v>0</v>
      </c>
      <c r="AW54" s="9">
        <f t="shared" si="88"/>
        <v>0</v>
      </c>
      <c r="AX54" s="9">
        <f t="shared" si="89"/>
        <v>0</v>
      </c>
      <c r="AY54" s="69" t="s">
        <v>343</v>
      </c>
      <c r="AZ54" s="69" t="s">
        <v>344</v>
      </c>
      <c r="BA54" s="12" t="s">
        <v>322</v>
      </c>
      <c r="BC54" s="9">
        <f t="shared" si="90"/>
        <v>0</v>
      </c>
      <c r="BD54" s="9">
        <f t="shared" si="91"/>
        <v>0</v>
      </c>
      <c r="BE54" s="9">
        <v>0</v>
      </c>
      <c r="BF54" s="9">
        <f t="shared" si="92"/>
        <v>6.4300000000000004E-5</v>
      </c>
      <c r="BH54" s="9">
        <f t="shared" si="93"/>
        <v>0</v>
      </c>
      <c r="BI54" s="9">
        <f t="shared" si="94"/>
        <v>0</v>
      </c>
      <c r="BJ54" s="9">
        <f t="shared" si="95"/>
        <v>0</v>
      </c>
      <c r="BK54" s="69" t="s">
        <v>26</v>
      </c>
      <c r="BL54" s="9">
        <v>784</v>
      </c>
      <c r="BW54" s="9">
        <v>21</v>
      </c>
      <c r="BX54" s="3" t="s">
        <v>109</v>
      </c>
    </row>
    <row r="55" spans="1:76" ht="14.6" x14ac:dyDescent="0.4">
      <c r="A55" s="1">
        <v>34</v>
      </c>
      <c r="B55" s="2" t="s">
        <v>236</v>
      </c>
      <c r="C55" s="2" t="s">
        <v>112</v>
      </c>
      <c r="D55" s="184" t="s">
        <v>113</v>
      </c>
      <c r="E55" s="185"/>
      <c r="F55" s="2" t="s">
        <v>25</v>
      </c>
      <c r="G55" s="9">
        <v>55.52</v>
      </c>
      <c r="H55" s="9"/>
      <c r="I55" s="9">
        <f t="shared" si="72"/>
        <v>0</v>
      </c>
      <c r="J55" s="9">
        <f t="shared" si="73"/>
        <v>0</v>
      </c>
      <c r="K55" s="9">
        <f t="shared" si="74"/>
        <v>0</v>
      </c>
      <c r="L55" s="9">
        <v>8.9999999999999998E-4</v>
      </c>
      <c r="M55" s="9">
        <f t="shared" si="75"/>
        <v>4.9967999999999999E-2</v>
      </c>
      <c r="N55" s="68" t="s">
        <v>319</v>
      </c>
      <c r="Z55" s="9">
        <f t="shared" si="76"/>
        <v>0</v>
      </c>
      <c r="AB55" s="9">
        <f t="shared" si="77"/>
        <v>0</v>
      </c>
      <c r="AC55" s="9">
        <f t="shared" si="78"/>
        <v>0</v>
      </c>
      <c r="AD55" s="9">
        <f t="shared" si="79"/>
        <v>0</v>
      </c>
      <c r="AE55" s="9">
        <f t="shared" si="80"/>
        <v>0</v>
      </c>
      <c r="AF55" s="9">
        <f t="shared" si="81"/>
        <v>0</v>
      </c>
      <c r="AG55" s="9">
        <f t="shared" si="82"/>
        <v>0</v>
      </c>
      <c r="AH55" s="9">
        <f t="shared" si="83"/>
        <v>0</v>
      </c>
      <c r="AI55" s="12" t="s">
        <v>236</v>
      </c>
      <c r="AJ55" s="9">
        <f t="shared" si="84"/>
        <v>0</v>
      </c>
      <c r="AK55" s="9">
        <f t="shared" si="85"/>
        <v>0</v>
      </c>
      <c r="AL55" s="9">
        <f t="shared" si="86"/>
        <v>0</v>
      </c>
      <c r="AN55" s="9">
        <v>21</v>
      </c>
      <c r="AO55" s="9">
        <f>H55*0.002100378</f>
        <v>0</v>
      </c>
      <c r="AP55" s="9">
        <f>H55*(1-0.002100378)</f>
        <v>0</v>
      </c>
      <c r="AQ55" s="69" t="s">
        <v>330</v>
      </c>
      <c r="AV55" s="9">
        <f t="shared" si="87"/>
        <v>0</v>
      </c>
      <c r="AW55" s="9">
        <f t="shared" si="88"/>
        <v>0</v>
      </c>
      <c r="AX55" s="9">
        <f t="shared" si="89"/>
        <v>0</v>
      </c>
      <c r="AY55" s="69" t="s">
        <v>343</v>
      </c>
      <c r="AZ55" s="69" t="s">
        <v>344</v>
      </c>
      <c r="BA55" s="12" t="s">
        <v>322</v>
      </c>
      <c r="BC55" s="9">
        <f t="shared" si="90"/>
        <v>0</v>
      </c>
      <c r="BD55" s="9">
        <f t="shared" si="91"/>
        <v>0</v>
      </c>
      <c r="BE55" s="9">
        <v>0</v>
      </c>
      <c r="BF55" s="9">
        <f t="shared" si="92"/>
        <v>4.9967999999999999E-2</v>
      </c>
      <c r="BH55" s="9">
        <f t="shared" si="93"/>
        <v>0</v>
      </c>
      <c r="BI55" s="9">
        <f t="shared" si="94"/>
        <v>0</v>
      </c>
      <c r="BJ55" s="9">
        <f t="shared" si="95"/>
        <v>0</v>
      </c>
      <c r="BK55" s="69" t="s">
        <v>26</v>
      </c>
      <c r="BL55" s="9">
        <v>784</v>
      </c>
      <c r="BW55" s="9">
        <v>21</v>
      </c>
      <c r="BX55" s="3" t="s">
        <v>111</v>
      </c>
    </row>
    <row r="56" spans="1:76" ht="14.6" x14ac:dyDescent="0.4">
      <c r="A56" s="1">
        <v>35</v>
      </c>
      <c r="B56" s="2" t="s">
        <v>236</v>
      </c>
      <c r="C56" s="2" t="s">
        <v>114</v>
      </c>
      <c r="D56" s="184" t="s">
        <v>479</v>
      </c>
      <c r="E56" s="185"/>
      <c r="F56" s="2" t="s">
        <v>25</v>
      </c>
      <c r="G56" s="9">
        <v>69.45</v>
      </c>
      <c r="H56" s="9"/>
      <c r="I56" s="9">
        <f t="shared" si="72"/>
        <v>0</v>
      </c>
      <c r="J56" s="9">
        <f t="shared" si="73"/>
        <v>0</v>
      </c>
      <c r="K56" s="9">
        <f t="shared" si="74"/>
        <v>0</v>
      </c>
      <c r="L56" s="9">
        <v>1.4999999999999999E-4</v>
      </c>
      <c r="M56" s="9">
        <f t="shared" si="75"/>
        <v>1.04175E-2</v>
      </c>
      <c r="N56" s="68" t="s">
        <v>319</v>
      </c>
      <c r="Z56" s="9">
        <f t="shared" si="76"/>
        <v>0</v>
      </c>
      <c r="AB56" s="9">
        <f t="shared" si="77"/>
        <v>0</v>
      </c>
      <c r="AC56" s="9">
        <f t="shared" si="78"/>
        <v>0</v>
      </c>
      <c r="AD56" s="9">
        <f t="shared" si="79"/>
        <v>0</v>
      </c>
      <c r="AE56" s="9">
        <f t="shared" si="80"/>
        <v>0</v>
      </c>
      <c r="AF56" s="9">
        <f t="shared" si="81"/>
        <v>0</v>
      </c>
      <c r="AG56" s="9">
        <f t="shared" si="82"/>
        <v>0</v>
      </c>
      <c r="AH56" s="9">
        <f t="shared" si="83"/>
        <v>0</v>
      </c>
      <c r="AI56" s="12" t="s">
        <v>236</v>
      </c>
      <c r="AJ56" s="9">
        <f t="shared" si="84"/>
        <v>0</v>
      </c>
      <c r="AK56" s="9">
        <f t="shared" si="85"/>
        <v>0</v>
      </c>
      <c r="AL56" s="9">
        <f t="shared" si="86"/>
        <v>0</v>
      </c>
      <c r="AN56" s="9">
        <v>21</v>
      </c>
      <c r="AO56" s="9">
        <f>H56*0.264738305</f>
        <v>0</v>
      </c>
      <c r="AP56" s="9">
        <f>H56*(1-0.264738305)</f>
        <v>0</v>
      </c>
      <c r="AQ56" s="69" t="s">
        <v>330</v>
      </c>
      <c r="AV56" s="9">
        <f t="shared" si="87"/>
        <v>0</v>
      </c>
      <c r="AW56" s="9">
        <f t="shared" si="88"/>
        <v>0</v>
      </c>
      <c r="AX56" s="9">
        <f t="shared" si="89"/>
        <v>0</v>
      </c>
      <c r="AY56" s="69" t="s">
        <v>343</v>
      </c>
      <c r="AZ56" s="69" t="s">
        <v>344</v>
      </c>
      <c r="BA56" s="12" t="s">
        <v>322</v>
      </c>
      <c r="BC56" s="9">
        <f t="shared" si="90"/>
        <v>0</v>
      </c>
      <c r="BD56" s="9">
        <f t="shared" si="91"/>
        <v>0</v>
      </c>
      <c r="BE56" s="9">
        <v>0</v>
      </c>
      <c r="BF56" s="9">
        <f t="shared" si="92"/>
        <v>1.04175E-2</v>
      </c>
      <c r="BH56" s="9">
        <f t="shared" si="93"/>
        <v>0</v>
      </c>
      <c r="BI56" s="9">
        <f t="shared" si="94"/>
        <v>0</v>
      </c>
      <c r="BJ56" s="9">
        <f t="shared" si="95"/>
        <v>0</v>
      </c>
      <c r="BK56" s="69" t="s">
        <v>26</v>
      </c>
      <c r="BL56" s="9">
        <v>784</v>
      </c>
      <c r="BW56" s="9">
        <v>21</v>
      </c>
      <c r="BX56" s="3" t="s">
        <v>113</v>
      </c>
    </row>
    <row r="57" spans="1:76" ht="14.6" x14ac:dyDescent="0.4">
      <c r="A57" s="1">
        <v>36</v>
      </c>
      <c r="B57" s="2" t="s">
        <v>236</v>
      </c>
      <c r="C57" s="2" t="s">
        <v>116</v>
      </c>
      <c r="D57" s="184" t="s">
        <v>480</v>
      </c>
      <c r="E57" s="185"/>
      <c r="F57" s="2" t="s">
        <v>25</v>
      </c>
      <c r="G57" s="9">
        <v>55.51</v>
      </c>
      <c r="H57" s="9"/>
      <c r="I57" s="9">
        <f t="shared" si="72"/>
        <v>0</v>
      </c>
      <c r="J57" s="9">
        <f t="shared" si="73"/>
        <v>0</v>
      </c>
      <c r="K57" s="9">
        <f t="shared" si="74"/>
        <v>0</v>
      </c>
      <c r="L57" s="9">
        <v>4.6000000000000001E-4</v>
      </c>
      <c r="M57" s="9">
        <f t="shared" si="75"/>
        <v>2.5534600000000001E-2</v>
      </c>
      <c r="N57" s="68" t="s">
        <v>319</v>
      </c>
      <c r="Z57" s="9">
        <f t="shared" si="76"/>
        <v>0</v>
      </c>
      <c r="AB57" s="9">
        <f t="shared" si="77"/>
        <v>0</v>
      </c>
      <c r="AC57" s="9">
        <f t="shared" si="78"/>
        <v>0</v>
      </c>
      <c r="AD57" s="9">
        <f t="shared" si="79"/>
        <v>0</v>
      </c>
      <c r="AE57" s="9">
        <f t="shared" si="80"/>
        <v>0</v>
      </c>
      <c r="AF57" s="9">
        <f t="shared" si="81"/>
        <v>0</v>
      </c>
      <c r="AG57" s="9">
        <f t="shared" si="82"/>
        <v>0</v>
      </c>
      <c r="AH57" s="9">
        <f t="shared" si="83"/>
        <v>0</v>
      </c>
      <c r="AI57" s="12" t="s">
        <v>236</v>
      </c>
      <c r="AJ57" s="9">
        <f t="shared" si="84"/>
        <v>0</v>
      </c>
      <c r="AK57" s="9">
        <f t="shared" si="85"/>
        <v>0</v>
      </c>
      <c r="AL57" s="9">
        <f t="shared" si="86"/>
        <v>0</v>
      </c>
      <c r="AN57" s="9">
        <v>21</v>
      </c>
      <c r="AO57" s="9">
        <f>H57*0.207291043</f>
        <v>0</v>
      </c>
      <c r="AP57" s="9">
        <f>H57*(1-0.207291043)</f>
        <v>0</v>
      </c>
      <c r="AQ57" s="69" t="s">
        <v>330</v>
      </c>
      <c r="AV57" s="9">
        <f t="shared" si="87"/>
        <v>0</v>
      </c>
      <c r="AW57" s="9">
        <f t="shared" si="88"/>
        <v>0</v>
      </c>
      <c r="AX57" s="9">
        <f t="shared" si="89"/>
        <v>0</v>
      </c>
      <c r="AY57" s="69" t="s">
        <v>343</v>
      </c>
      <c r="AZ57" s="69" t="s">
        <v>344</v>
      </c>
      <c r="BA57" s="12" t="s">
        <v>322</v>
      </c>
      <c r="BC57" s="9">
        <f t="shared" si="90"/>
        <v>0</v>
      </c>
      <c r="BD57" s="9">
        <f t="shared" si="91"/>
        <v>0</v>
      </c>
      <c r="BE57" s="9">
        <v>0</v>
      </c>
      <c r="BF57" s="9">
        <f t="shared" si="92"/>
        <v>2.5534600000000001E-2</v>
      </c>
      <c r="BH57" s="9">
        <f t="shared" si="93"/>
        <v>0</v>
      </c>
      <c r="BI57" s="9">
        <f t="shared" si="94"/>
        <v>0</v>
      </c>
      <c r="BJ57" s="9">
        <f t="shared" si="95"/>
        <v>0</v>
      </c>
      <c r="BK57" s="69" t="s">
        <v>26</v>
      </c>
      <c r="BL57" s="9">
        <v>784</v>
      </c>
      <c r="BW57" s="9">
        <v>21</v>
      </c>
      <c r="BX57" s="3" t="s">
        <v>115</v>
      </c>
    </row>
    <row r="58" spans="1:76" ht="14.6" x14ac:dyDescent="0.4">
      <c r="A58" s="1">
        <v>37</v>
      </c>
      <c r="B58" s="2" t="s">
        <v>236</v>
      </c>
      <c r="C58" s="2" t="s">
        <v>118</v>
      </c>
      <c r="D58" s="184" t="s">
        <v>481</v>
      </c>
      <c r="E58" s="185"/>
      <c r="F58" s="2" t="s">
        <v>25</v>
      </c>
      <c r="G58" s="9">
        <v>50.78</v>
      </c>
      <c r="H58" s="9"/>
      <c r="I58" s="9">
        <f t="shared" si="72"/>
        <v>0</v>
      </c>
      <c r="J58" s="9">
        <f t="shared" si="73"/>
        <v>0</v>
      </c>
      <c r="K58" s="9">
        <f t="shared" si="74"/>
        <v>0</v>
      </c>
      <c r="L58" s="9">
        <v>3.3E-4</v>
      </c>
      <c r="M58" s="9">
        <f t="shared" si="75"/>
        <v>1.6757399999999999E-2</v>
      </c>
      <c r="N58" s="68" t="s">
        <v>319</v>
      </c>
      <c r="Z58" s="9">
        <f t="shared" si="76"/>
        <v>0</v>
      </c>
      <c r="AB58" s="9">
        <f t="shared" si="77"/>
        <v>0</v>
      </c>
      <c r="AC58" s="9">
        <f t="shared" si="78"/>
        <v>0</v>
      </c>
      <c r="AD58" s="9">
        <f t="shared" si="79"/>
        <v>0</v>
      </c>
      <c r="AE58" s="9">
        <f t="shared" si="80"/>
        <v>0</v>
      </c>
      <c r="AF58" s="9">
        <f t="shared" si="81"/>
        <v>0</v>
      </c>
      <c r="AG58" s="9">
        <f t="shared" si="82"/>
        <v>0</v>
      </c>
      <c r="AH58" s="9">
        <f t="shared" si="83"/>
        <v>0</v>
      </c>
      <c r="AI58" s="12" t="s">
        <v>236</v>
      </c>
      <c r="AJ58" s="9">
        <f t="shared" si="84"/>
        <v>0</v>
      </c>
      <c r="AK58" s="9">
        <f t="shared" si="85"/>
        <v>0</v>
      </c>
      <c r="AL58" s="9">
        <f t="shared" si="86"/>
        <v>0</v>
      </c>
      <c r="AN58" s="9">
        <v>21</v>
      </c>
      <c r="AO58" s="9">
        <f>H58*0.28691752</f>
        <v>0</v>
      </c>
      <c r="AP58" s="9">
        <f>H58*(1-0.28691752)</f>
        <v>0</v>
      </c>
      <c r="AQ58" s="69" t="s">
        <v>330</v>
      </c>
      <c r="AV58" s="9">
        <f t="shared" si="87"/>
        <v>0</v>
      </c>
      <c r="AW58" s="9">
        <f t="shared" si="88"/>
        <v>0</v>
      </c>
      <c r="AX58" s="9">
        <f t="shared" si="89"/>
        <v>0</v>
      </c>
      <c r="AY58" s="69" t="s">
        <v>343</v>
      </c>
      <c r="AZ58" s="69" t="s">
        <v>344</v>
      </c>
      <c r="BA58" s="12" t="s">
        <v>322</v>
      </c>
      <c r="BC58" s="9">
        <f t="shared" si="90"/>
        <v>0</v>
      </c>
      <c r="BD58" s="9">
        <f t="shared" si="91"/>
        <v>0</v>
      </c>
      <c r="BE58" s="9">
        <v>0</v>
      </c>
      <c r="BF58" s="9">
        <f t="shared" si="92"/>
        <v>1.6757399999999999E-2</v>
      </c>
      <c r="BH58" s="9">
        <f t="shared" si="93"/>
        <v>0</v>
      </c>
      <c r="BI58" s="9">
        <f t="shared" si="94"/>
        <v>0</v>
      </c>
      <c r="BJ58" s="9">
        <f t="shared" si="95"/>
        <v>0</v>
      </c>
      <c r="BK58" s="69" t="s">
        <v>26</v>
      </c>
      <c r="BL58" s="9">
        <v>784</v>
      </c>
      <c r="BW58" s="9">
        <v>21</v>
      </c>
      <c r="BX58" s="3" t="s">
        <v>117</v>
      </c>
    </row>
    <row r="59" spans="1:76" ht="14.6" x14ac:dyDescent="0.4">
      <c r="A59" s="1">
        <v>38</v>
      </c>
      <c r="B59" s="2" t="s">
        <v>236</v>
      </c>
      <c r="C59" s="2" t="s">
        <v>120</v>
      </c>
      <c r="D59" s="184" t="s">
        <v>482</v>
      </c>
      <c r="E59" s="185"/>
      <c r="F59" s="2" t="s">
        <v>25</v>
      </c>
      <c r="G59" s="9">
        <v>13.88</v>
      </c>
      <c r="H59" s="9"/>
      <c r="I59" s="9">
        <f t="shared" si="72"/>
        <v>0</v>
      </c>
      <c r="J59" s="9">
        <f t="shared" si="73"/>
        <v>0</v>
      </c>
      <c r="K59" s="9">
        <f t="shared" si="74"/>
        <v>0</v>
      </c>
      <c r="L59" s="9">
        <v>1.75E-3</v>
      </c>
      <c r="M59" s="9">
        <f t="shared" si="75"/>
        <v>2.4290000000000003E-2</v>
      </c>
      <c r="N59" s="68" t="s">
        <v>319</v>
      </c>
      <c r="Z59" s="9">
        <f t="shared" si="76"/>
        <v>0</v>
      </c>
      <c r="AB59" s="9">
        <f t="shared" si="77"/>
        <v>0</v>
      </c>
      <c r="AC59" s="9">
        <f t="shared" si="78"/>
        <v>0</v>
      </c>
      <c r="AD59" s="9">
        <f t="shared" si="79"/>
        <v>0</v>
      </c>
      <c r="AE59" s="9">
        <f t="shared" si="80"/>
        <v>0</v>
      </c>
      <c r="AF59" s="9">
        <f t="shared" si="81"/>
        <v>0</v>
      </c>
      <c r="AG59" s="9">
        <f t="shared" si="82"/>
        <v>0</v>
      </c>
      <c r="AH59" s="9">
        <f t="shared" si="83"/>
        <v>0</v>
      </c>
      <c r="AI59" s="12" t="s">
        <v>236</v>
      </c>
      <c r="AJ59" s="9">
        <f t="shared" si="84"/>
        <v>0</v>
      </c>
      <c r="AK59" s="9">
        <f t="shared" si="85"/>
        <v>0</v>
      </c>
      <c r="AL59" s="9">
        <f t="shared" si="86"/>
        <v>0</v>
      </c>
      <c r="AN59" s="9">
        <v>21</v>
      </c>
      <c r="AO59" s="9">
        <f>H59*0.232908601</f>
        <v>0</v>
      </c>
      <c r="AP59" s="9">
        <f>H59*(1-0.232908601)</f>
        <v>0</v>
      </c>
      <c r="AQ59" s="69" t="s">
        <v>330</v>
      </c>
      <c r="AV59" s="9">
        <f t="shared" si="87"/>
        <v>0</v>
      </c>
      <c r="AW59" s="9">
        <f t="shared" si="88"/>
        <v>0</v>
      </c>
      <c r="AX59" s="9">
        <f t="shared" si="89"/>
        <v>0</v>
      </c>
      <c r="AY59" s="69" t="s">
        <v>343</v>
      </c>
      <c r="AZ59" s="69" t="s">
        <v>344</v>
      </c>
      <c r="BA59" s="12" t="s">
        <v>322</v>
      </c>
      <c r="BC59" s="9">
        <f t="shared" si="90"/>
        <v>0</v>
      </c>
      <c r="BD59" s="9">
        <f t="shared" si="91"/>
        <v>0</v>
      </c>
      <c r="BE59" s="9">
        <v>0</v>
      </c>
      <c r="BF59" s="9">
        <f t="shared" si="92"/>
        <v>2.4290000000000003E-2</v>
      </c>
      <c r="BH59" s="9">
        <f t="shared" si="93"/>
        <v>0</v>
      </c>
      <c r="BI59" s="9">
        <f t="shared" si="94"/>
        <v>0</v>
      </c>
      <c r="BJ59" s="9">
        <f t="shared" si="95"/>
        <v>0</v>
      </c>
      <c r="BK59" s="69" t="s">
        <v>26</v>
      </c>
      <c r="BL59" s="9">
        <v>784</v>
      </c>
      <c r="BW59" s="9">
        <v>21</v>
      </c>
      <c r="BX59" s="3" t="s">
        <v>119</v>
      </c>
    </row>
    <row r="60" spans="1:76" ht="14.6" x14ac:dyDescent="0.4">
      <c r="A60" s="70" t="s">
        <v>236</v>
      </c>
      <c r="B60" s="11" t="s">
        <v>236</v>
      </c>
      <c r="C60" s="11" t="s">
        <v>122</v>
      </c>
      <c r="D60" s="240" t="s">
        <v>123</v>
      </c>
      <c r="E60" s="241"/>
      <c r="F60" s="71" t="s">
        <v>20</v>
      </c>
      <c r="G60" s="71" t="s">
        <v>20</v>
      </c>
      <c r="H60" s="71" t="s">
        <v>20</v>
      </c>
      <c r="I60" s="13">
        <f>ROUND(SUM(I61:I61),0)</f>
        <v>0</v>
      </c>
      <c r="J60" s="13">
        <f>ROUND(SUM(J61:J61),0)</f>
        <v>0</v>
      </c>
      <c r="K60" s="13">
        <f>ROUND(SUM(K61:K61),0)</f>
        <v>0</v>
      </c>
      <c r="L60" s="12" t="s">
        <v>236</v>
      </c>
      <c r="M60" s="13">
        <f>SUM(M61:M61)</f>
        <v>9.9640000000000015E-4</v>
      </c>
      <c r="N60" s="72" t="s">
        <v>236</v>
      </c>
      <c r="AI60" s="12" t="s">
        <v>236</v>
      </c>
      <c r="AS60" s="13">
        <f>SUM(AJ61:AJ61)</f>
        <v>0</v>
      </c>
      <c r="AT60" s="13">
        <f>SUM(AK61:AK61)</f>
        <v>0</v>
      </c>
      <c r="AU60" s="13">
        <f>SUM(AL61:AL61)</f>
        <v>0</v>
      </c>
      <c r="BW60" s="9">
        <v>21</v>
      </c>
      <c r="BX60" s="3" t="s">
        <v>121</v>
      </c>
    </row>
    <row r="61" spans="1:76" ht="14.6" x14ac:dyDescent="0.4">
      <c r="A61" s="1">
        <v>39</v>
      </c>
      <c r="B61" s="2" t="s">
        <v>236</v>
      </c>
      <c r="C61" s="2" t="s">
        <v>124</v>
      </c>
      <c r="D61" s="184" t="s">
        <v>125</v>
      </c>
      <c r="E61" s="185"/>
      <c r="F61" s="2" t="s">
        <v>25</v>
      </c>
      <c r="G61" s="9">
        <v>24.91</v>
      </c>
      <c r="H61" s="9"/>
      <c r="I61" s="9">
        <f>ROUND(G61*AO61,2)</f>
        <v>0</v>
      </c>
      <c r="J61" s="9">
        <f>ROUND(G61*AP61,2)</f>
        <v>0</v>
      </c>
      <c r="K61" s="9">
        <f>ROUND(G61*H61,0)</f>
        <v>0</v>
      </c>
      <c r="L61" s="9">
        <v>4.0000000000000003E-5</v>
      </c>
      <c r="M61" s="9">
        <f>G61*L61</f>
        <v>9.9640000000000015E-4</v>
      </c>
      <c r="N61" s="68" t="s">
        <v>319</v>
      </c>
      <c r="Z61" s="9">
        <f>ROUND(IF(AQ61="5",BJ61,0),2)</f>
        <v>0</v>
      </c>
      <c r="AB61" s="9">
        <f>ROUND(IF(AQ61="1",BH61,0),2)</f>
        <v>0</v>
      </c>
      <c r="AC61" s="9">
        <f>ROUND(IF(AQ61="1",BI61,0),2)</f>
        <v>0</v>
      </c>
      <c r="AD61" s="9">
        <f>ROUND(IF(AQ61="7",BH61,0),2)</f>
        <v>0</v>
      </c>
      <c r="AE61" s="9">
        <f>ROUND(IF(AQ61="7",BI61,0),2)</f>
        <v>0</v>
      </c>
      <c r="AF61" s="9">
        <f>ROUND(IF(AQ61="2",BH61,0),2)</f>
        <v>0</v>
      </c>
      <c r="AG61" s="9">
        <f>ROUND(IF(AQ61="2",BI61,0),2)</f>
        <v>0</v>
      </c>
      <c r="AH61" s="9">
        <f>ROUND(IF(AQ61="0",BJ61,0),2)</f>
        <v>0</v>
      </c>
      <c r="AI61" s="12" t="s">
        <v>236</v>
      </c>
      <c r="AJ61" s="9">
        <f>IF(AN61=0,K61,0)</f>
        <v>0</v>
      </c>
      <c r="AK61" s="9">
        <f>IF(AN61=12,K61,0)</f>
        <v>0</v>
      </c>
      <c r="AL61" s="9">
        <f>IF(AN61=21,K61,0)</f>
        <v>0</v>
      </c>
      <c r="AN61" s="9">
        <v>21</v>
      </c>
      <c r="AO61" s="9">
        <f>H61*0.012648673</f>
        <v>0</v>
      </c>
      <c r="AP61" s="9">
        <f>H61*(1-0.012648673)</f>
        <v>0</v>
      </c>
      <c r="AQ61" s="69" t="s">
        <v>318</v>
      </c>
      <c r="AV61" s="9">
        <f>ROUND(AW61+AX61,2)</f>
        <v>0</v>
      </c>
      <c r="AW61" s="9">
        <f>ROUND(G61*AO61,2)</f>
        <v>0</v>
      </c>
      <c r="AX61" s="9">
        <f>ROUND(G61*AP61,2)</f>
        <v>0</v>
      </c>
      <c r="AY61" s="69" t="s">
        <v>345</v>
      </c>
      <c r="AZ61" s="69" t="s">
        <v>346</v>
      </c>
      <c r="BA61" s="12" t="s">
        <v>322</v>
      </c>
      <c r="BC61" s="9">
        <f>AW61+AX61</f>
        <v>0</v>
      </c>
      <c r="BD61" s="9">
        <f>H61/(100-BE61)*100</f>
        <v>0</v>
      </c>
      <c r="BE61" s="9">
        <v>0</v>
      </c>
      <c r="BF61" s="9">
        <f>M61</f>
        <v>9.9640000000000015E-4</v>
      </c>
      <c r="BH61" s="9">
        <f>G61*AO61</f>
        <v>0</v>
      </c>
      <c r="BI61" s="9">
        <f>G61*AP61</f>
        <v>0</v>
      </c>
      <c r="BJ61" s="9">
        <f>G61*H61</f>
        <v>0</v>
      </c>
      <c r="BK61" s="69" t="s">
        <v>26</v>
      </c>
      <c r="BL61" s="9">
        <v>95</v>
      </c>
    </row>
    <row r="62" spans="1:76" ht="14.6" x14ac:dyDescent="0.4">
      <c r="A62" s="70" t="s">
        <v>236</v>
      </c>
      <c r="B62" s="11" t="s">
        <v>236</v>
      </c>
      <c r="C62" s="11" t="s">
        <v>126</v>
      </c>
      <c r="D62" s="240" t="s">
        <v>127</v>
      </c>
      <c r="E62" s="241"/>
      <c r="F62" s="71" t="s">
        <v>20</v>
      </c>
      <c r="G62" s="71" t="s">
        <v>20</v>
      </c>
      <c r="H62" s="71" t="s">
        <v>20</v>
      </c>
      <c r="I62" s="13">
        <f>ROUND(SUM(I63:I72),0)</f>
        <v>0</v>
      </c>
      <c r="J62" s="13">
        <f>ROUND(SUM(J63:J72),0)</f>
        <v>0</v>
      </c>
      <c r="K62" s="13">
        <f>ROUND(SUM(K63:K72),0)</f>
        <v>0</v>
      </c>
      <c r="L62" s="12" t="s">
        <v>236</v>
      </c>
      <c r="M62" s="13">
        <f>SUM(M63:M72)</f>
        <v>5.9908728999999994</v>
      </c>
      <c r="N62" s="72" t="s">
        <v>236</v>
      </c>
      <c r="AI62" s="12" t="s">
        <v>236</v>
      </c>
      <c r="AS62" s="13">
        <f>SUM(AJ63:AJ72)</f>
        <v>0</v>
      </c>
      <c r="AT62" s="13">
        <f>SUM(AK63:AK72)</f>
        <v>0</v>
      </c>
      <c r="AU62" s="13">
        <f>SUM(AL63:AL72)</f>
        <v>0</v>
      </c>
      <c r="BW62" s="9">
        <v>21</v>
      </c>
      <c r="BX62" s="3" t="s">
        <v>125</v>
      </c>
    </row>
    <row r="63" spans="1:76" ht="14.6" x14ac:dyDescent="0.4">
      <c r="A63" s="1">
        <v>40</v>
      </c>
      <c r="B63" s="2" t="s">
        <v>236</v>
      </c>
      <c r="C63" s="2" t="s">
        <v>128</v>
      </c>
      <c r="D63" s="184" t="s">
        <v>129</v>
      </c>
      <c r="E63" s="185"/>
      <c r="F63" s="2" t="s">
        <v>25</v>
      </c>
      <c r="G63" s="9">
        <v>75.91</v>
      </c>
      <c r="H63" s="9"/>
      <c r="I63" s="9">
        <f t="shared" ref="I63:I72" si="96">ROUND(G63*AO63,2)</f>
        <v>0</v>
      </c>
      <c r="J63" s="9">
        <f t="shared" ref="J63:J72" si="97">ROUND(G63*AP63,2)</f>
        <v>0</v>
      </c>
      <c r="K63" s="9">
        <f t="shared" ref="K63:K72" si="98">ROUND(G63*H63,0)</f>
        <v>0</v>
      </c>
      <c r="L63" s="9">
        <v>2.2429999999999999E-2</v>
      </c>
      <c r="M63" s="9">
        <f t="shared" ref="M63:M72" si="99">G63*L63</f>
        <v>1.7026612999999997</v>
      </c>
      <c r="N63" s="68" t="s">
        <v>319</v>
      </c>
      <c r="Z63" s="9">
        <f t="shared" ref="Z63:Z72" si="100">ROUND(IF(AQ63="5",BJ63,0),2)</f>
        <v>0</v>
      </c>
      <c r="AB63" s="9">
        <f t="shared" ref="AB63:AB72" si="101">ROUND(IF(AQ63="1",BH63,0),2)</f>
        <v>0</v>
      </c>
      <c r="AC63" s="9">
        <f t="shared" ref="AC63:AC72" si="102">ROUND(IF(AQ63="1",BI63,0),2)</f>
        <v>0</v>
      </c>
      <c r="AD63" s="9">
        <f t="shared" ref="AD63:AD72" si="103">ROUND(IF(AQ63="7",BH63,0),2)</f>
        <v>0</v>
      </c>
      <c r="AE63" s="9">
        <f t="shared" ref="AE63:AE72" si="104">ROUND(IF(AQ63="7",BI63,0),2)</f>
        <v>0</v>
      </c>
      <c r="AF63" s="9">
        <f t="shared" ref="AF63:AF72" si="105">ROUND(IF(AQ63="2",BH63,0),2)</f>
        <v>0</v>
      </c>
      <c r="AG63" s="9">
        <f t="shared" ref="AG63:AG72" si="106">ROUND(IF(AQ63="2",BI63,0),2)</f>
        <v>0</v>
      </c>
      <c r="AH63" s="9">
        <f t="shared" ref="AH63:AH72" si="107">ROUND(IF(AQ63="0",BJ63,0),2)</f>
        <v>0</v>
      </c>
      <c r="AI63" s="12" t="s">
        <v>236</v>
      </c>
      <c r="AJ63" s="9">
        <f t="shared" ref="AJ63:AJ72" si="108">IF(AN63=0,K63,0)</f>
        <v>0</v>
      </c>
      <c r="AK63" s="9">
        <f t="shared" ref="AK63:AK72" si="109">IF(AN63=12,K63,0)</f>
        <v>0</v>
      </c>
      <c r="AL63" s="9">
        <f t="shared" ref="AL63:AL72" si="110">IF(AN63=21,K63,0)</f>
        <v>0</v>
      </c>
      <c r="AN63" s="9">
        <v>21</v>
      </c>
      <c r="AO63" s="9">
        <f>H63*0.042603815</f>
        <v>0</v>
      </c>
      <c r="AP63" s="9">
        <f>H63*(1-0.042603815)</f>
        <v>0</v>
      </c>
      <c r="AQ63" s="69" t="s">
        <v>318</v>
      </c>
      <c r="AV63" s="9">
        <f t="shared" ref="AV63:AV72" si="111">ROUND(AW63+AX63,2)</f>
        <v>0</v>
      </c>
      <c r="AW63" s="9">
        <f t="shared" ref="AW63:AW72" si="112">ROUND(G63*AO63,2)</f>
        <v>0</v>
      </c>
      <c r="AX63" s="9">
        <f t="shared" ref="AX63:AX72" si="113">ROUND(G63*AP63,2)</f>
        <v>0</v>
      </c>
      <c r="AY63" s="69" t="s">
        <v>347</v>
      </c>
      <c r="AZ63" s="69" t="s">
        <v>346</v>
      </c>
      <c r="BA63" s="12" t="s">
        <v>322</v>
      </c>
      <c r="BC63" s="9">
        <f t="shared" ref="BC63:BC72" si="114">AW63+AX63</f>
        <v>0</v>
      </c>
      <c r="BD63" s="9">
        <f t="shared" ref="BD63:BD72" si="115">H63/(100-BE63)*100</f>
        <v>0</v>
      </c>
      <c r="BE63" s="9">
        <v>0</v>
      </c>
      <c r="BF63" s="9">
        <f>M63</f>
        <v>1.7026612999999997</v>
      </c>
      <c r="BH63" s="9">
        <f t="shared" ref="BH63:BH72" si="116">G63*AO63</f>
        <v>0</v>
      </c>
      <c r="BI63" s="9">
        <f t="shared" ref="BI63:BI72" si="117">G63*AP63</f>
        <v>0</v>
      </c>
      <c r="BJ63" s="9">
        <f t="shared" ref="BJ63:BJ72" si="118">G63*H63</f>
        <v>0</v>
      </c>
      <c r="BK63" s="69" t="s">
        <v>26</v>
      </c>
      <c r="BL63" s="9">
        <v>96</v>
      </c>
    </row>
    <row r="64" spans="1:76" ht="14.6" x14ac:dyDescent="0.4">
      <c r="A64" s="1" t="s">
        <v>348</v>
      </c>
      <c r="B64" s="2" t="s">
        <v>236</v>
      </c>
      <c r="C64" s="2" t="s">
        <v>130</v>
      </c>
      <c r="D64" s="184" t="s">
        <v>131</v>
      </c>
      <c r="E64" s="185"/>
      <c r="F64" s="2" t="s">
        <v>25</v>
      </c>
      <c r="G64" s="9">
        <v>13.05</v>
      </c>
      <c r="H64" s="9"/>
      <c r="I64" s="9">
        <f t="shared" si="96"/>
        <v>0</v>
      </c>
      <c r="J64" s="9">
        <f t="shared" si="97"/>
        <v>0</v>
      </c>
      <c r="K64" s="9">
        <f t="shared" si="98"/>
        <v>0</v>
      </c>
      <c r="L64" s="9">
        <v>5.1319999999999998E-2</v>
      </c>
      <c r="M64" s="9">
        <f t="shared" si="99"/>
        <v>0.66972600000000004</v>
      </c>
      <c r="N64" s="68" t="s">
        <v>319</v>
      </c>
      <c r="Z64" s="9">
        <f t="shared" si="100"/>
        <v>0</v>
      </c>
      <c r="AB64" s="9">
        <f t="shared" si="101"/>
        <v>0</v>
      </c>
      <c r="AC64" s="9">
        <f t="shared" si="102"/>
        <v>0</v>
      </c>
      <c r="AD64" s="9">
        <f t="shared" si="103"/>
        <v>0</v>
      </c>
      <c r="AE64" s="9">
        <f t="shared" si="104"/>
        <v>0</v>
      </c>
      <c r="AF64" s="9">
        <f t="shared" si="105"/>
        <v>0</v>
      </c>
      <c r="AG64" s="9">
        <f t="shared" si="106"/>
        <v>0</v>
      </c>
      <c r="AH64" s="9">
        <f t="shared" si="107"/>
        <v>0</v>
      </c>
      <c r="AI64" s="12" t="s">
        <v>236</v>
      </c>
      <c r="AJ64" s="9">
        <f t="shared" si="108"/>
        <v>0</v>
      </c>
      <c r="AK64" s="9">
        <f t="shared" si="109"/>
        <v>0</v>
      </c>
      <c r="AL64" s="9">
        <f t="shared" si="110"/>
        <v>0</v>
      </c>
      <c r="AN64" s="9">
        <v>21</v>
      </c>
      <c r="AO64" s="9">
        <f>H64*0.030206284</f>
        <v>0</v>
      </c>
      <c r="AP64" s="9">
        <f>H64*(1-0.030206284)</f>
        <v>0</v>
      </c>
      <c r="AQ64" s="69" t="s">
        <v>318</v>
      </c>
      <c r="AV64" s="9">
        <f t="shared" si="111"/>
        <v>0</v>
      </c>
      <c r="AW64" s="9">
        <f t="shared" si="112"/>
        <v>0</v>
      </c>
      <c r="AX64" s="9">
        <f t="shared" si="113"/>
        <v>0</v>
      </c>
      <c r="AY64" s="69" t="s">
        <v>347</v>
      </c>
      <c r="AZ64" s="69" t="s">
        <v>346</v>
      </c>
      <c r="BA64" s="12" t="s">
        <v>322</v>
      </c>
      <c r="BC64" s="9">
        <f t="shared" si="114"/>
        <v>0</v>
      </c>
      <c r="BD64" s="9">
        <f t="shared" si="115"/>
        <v>0</v>
      </c>
      <c r="BE64" s="9">
        <v>0</v>
      </c>
      <c r="BF64" s="9">
        <f>M64</f>
        <v>0.66972600000000004</v>
      </c>
      <c r="BH64" s="9">
        <f t="shared" si="116"/>
        <v>0</v>
      </c>
      <c r="BI64" s="9">
        <f t="shared" si="117"/>
        <v>0</v>
      </c>
      <c r="BJ64" s="9">
        <f t="shared" si="118"/>
        <v>0</v>
      </c>
      <c r="BK64" s="69" t="s">
        <v>26</v>
      </c>
      <c r="BL64" s="9">
        <v>96</v>
      </c>
      <c r="BW64" s="9">
        <v>21</v>
      </c>
      <c r="BX64" s="3" t="s">
        <v>129</v>
      </c>
    </row>
    <row r="65" spans="1:76" ht="14.6" x14ac:dyDescent="0.4">
      <c r="A65" s="1">
        <v>41</v>
      </c>
      <c r="B65" s="2" t="s">
        <v>236</v>
      </c>
      <c r="C65" s="2" t="s">
        <v>133</v>
      </c>
      <c r="D65" s="184" t="s">
        <v>134</v>
      </c>
      <c r="E65" s="185"/>
      <c r="F65" s="2" t="s">
        <v>51</v>
      </c>
      <c r="G65" s="9">
        <v>2</v>
      </c>
      <c r="H65" s="9"/>
      <c r="I65" s="9">
        <f t="shared" si="96"/>
        <v>0</v>
      </c>
      <c r="J65" s="9">
        <f t="shared" si="97"/>
        <v>0</v>
      </c>
      <c r="K65" s="9">
        <f t="shared" si="98"/>
        <v>0</v>
      </c>
      <c r="L65" s="9">
        <v>0</v>
      </c>
      <c r="M65" s="9">
        <f t="shared" si="99"/>
        <v>0</v>
      </c>
      <c r="N65" s="68" t="s">
        <v>319</v>
      </c>
      <c r="Z65" s="9">
        <f t="shared" si="100"/>
        <v>0</v>
      </c>
      <c r="AB65" s="9">
        <f t="shared" si="101"/>
        <v>0</v>
      </c>
      <c r="AC65" s="9">
        <f t="shared" si="102"/>
        <v>0</v>
      </c>
      <c r="AD65" s="9">
        <f t="shared" si="103"/>
        <v>0</v>
      </c>
      <c r="AE65" s="9">
        <f t="shared" si="104"/>
        <v>0</v>
      </c>
      <c r="AF65" s="9">
        <f t="shared" si="105"/>
        <v>0</v>
      </c>
      <c r="AG65" s="9">
        <f t="shared" si="106"/>
        <v>0</v>
      </c>
      <c r="AH65" s="9">
        <f t="shared" si="107"/>
        <v>0</v>
      </c>
      <c r="AI65" s="12" t="s">
        <v>236</v>
      </c>
      <c r="AJ65" s="9">
        <f t="shared" si="108"/>
        <v>0</v>
      </c>
      <c r="AK65" s="9">
        <f t="shared" si="109"/>
        <v>0</v>
      </c>
      <c r="AL65" s="9">
        <f t="shared" si="110"/>
        <v>0</v>
      </c>
      <c r="AN65" s="9">
        <v>21</v>
      </c>
      <c r="AO65" s="9">
        <f>H65*0</f>
        <v>0</v>
      </c>
      <c r="AP65" s="9">
        <f>H65*(1-0)</f>
        <v>0</v>
      </c>
      <c r="AQ65" s="69" t="s">
        <v>318</v>
      </c>
      <c r="AV65" s="9">
        <f t="shared" si="111"/>
        <v>0</v>
      </c>
      <c r="AW65" s="9">
        <f t="shared" si="112"/>
        <v>0</v>
      </c>
      <c r="AX65" s="9">
        <f t="shared" si="113"/>
        <v>0</v>
      </c>
      <c r="AY65" s="69" t="s">
        <v>347</v>
      </c>
      <c r="AZ65" s="69" t="s">
        <v>346</v>
      </c>
      <c r="BA65" s="12" t="s">
        <v>322</v>
      </c>
      <c r="BC65" s="9">
        <f t="shared" si="114"/>
        <v>0</v>
      </c>
      <c r="BD65" s="9">
        <f t="shared" si="115"/>
        <v>0</v>
      </c>
      <c r="BE65" s="9">
        <v>0</v>
      </c>
      <c r="BF65" s="9">
        <f>M65</f>
        <v>0</v>
      </c>
      <c r="BH65" s="9">
        <f t="shared" si="116"/>
        <v>0</v>
      </c>
      <c r="BI65" s="9">
        <f t="shared" si="117"/>
        <v>0</v>
      </c>
      <c r="BJ65" s="9">
        <f t="shared" si="118"/>
        <v>0</v>
      </c>
      <c r="BK65" s="69" t="s">
        <v>26</v>
      </c>
      <c r="BL65" s="9">
        <v>96</v>
      </c>
      <c r="BW65" s="9">
        <v>21</v>
      </c>
      <c r="BX65" s="3" t="s">
        <v>131</v>
      </c>
    </row>
    <row r="66" spans="1:76" ht="14.6" x14ac:dyDescent="0.4">
      <c r="A66" s="1" t="s">
        <v>349</v>
      </c>
      <c r="B66" s="2" t="s">
        <v>236</v>
      </c>
      <c r="C66" s="2" t="s">
        <v>135</v>
      </c>
      <c r="D66" s="184" t="s">
        <v>136</v>
      </c>
      <c r="E66" s="185"/>
      <c r="F66" s="2" t="s">
        <v>25</v>
      </c>
      <c r="G66" s="9">
        <v>1.89</v>
      </c>
      <c r="H66" s="9"/>
      <c r="I66" s="9">
        <f t="shared" si="96"/>
        <v>0</v>
      </c>
      <c r="J66" s="9">
        <f t="shared" si="97"/>
        <v>0</v>
      </c>
      <c r="K66" s="9">
        <f t="shared" si="98"/>
        <v>0</v>
      </c>
      <c r="L66" s="9">
        <v>6.4000000000000001E-2</v>
      </c>
      <c r="M66" s="9">
        <f t="shared" si="99"/>
        <v>0.12096</v>
      </c>
      <c r="N66" s="68" t="s">
        <v>319</v>
      </c>
      <c r="Z66" s="9">
        <f t="shared" si="100"/>
        <v>0</v>
      </c>
      <c r="AB66" s="9">
        <f t="shared" si="101"/>
        <v>0</v>
      </c>
      <c r="AC66" s="9">
        <f t="shared" si="102"/>
        <v>0</v>
      </c>
      <c r="AD66" s="9">
        <f t="shared" si="103"/>
        <v>0</v>
      </c>
      <c r="AE66" s="9">
        <f t="shared" si="104"/>
        <v>0</v>
      </c>
      <c r="AF66" s="9">
        <f t="shared" si="105"/>
        <v>0</v>
      </c>
      <c r="AG66" s="9">
        <f t="shared" si="106"/>
        <v>0</v>
      </c>
      <c r="AH66" s="9">
        <f t="shared" si="107"/>
        <v>0</v>
      </c>
      <c r="AI66" s="12" t="s">
        <v>236</v>
      </c>
      <c r="AJ66" s="9">
        <f t="shared" si="108"/>
        <v>0</v>
      </c>
      <c r="AK66" s="9">
        <f t="shared" si="109"/>
        <v>0</v>
      </c>
      <c r="AL66" s="9">
        <f t="shared" si="110"/>
        <v>0</v>
      </c>
      <c r="AN66" s="9">
        <v>21</v>
      </c>
      <c r="AO66" s="9">
        <f>H66*0.067576499</f>
        <v>0</v>
      </c>
      <c r="AP66" s="9">
        <f>H66*(1-0.067576499)</f>
        <v>0</v>
      </c>
      <c r="AQ66" s="69" t="s">
        <v>318</v>
      </c>
      <c r="AV66" s="9">
        <f t="shared" si="111"/>
        <v>0</v>
      </c>
      <c r="AW66" s="9">
        <f t="shared" si="112"/>
        <v>0</v>
      </c>
      <c r="AX66" s="9">
        <f t="shared" si="113"/>
        <v>0</v>
      </c>
      <c r="AY66" s="69" t="s">
        <v>347</v>
      </c>
      <c r="AZ66" s="69" t="s">
        <v>346</v>
      </c>
      <c r="BA66" s="12" t="s">
        <v>322</v>
      </c>
      <c r="BC66" s="9">
        <f t="shared" si="114"/>
        <v>0</v>
      </c>
      <c r="BD66" s="9">
        <f t="shared" si="115"/>
        <v>0</v>
      </c>
      <c r="BE66" s="9">
        <v>0</v>
      </c>
      <c r="BF66" s="9">
        <f>M66</f>
        <v>0.12096</v>
      </c>
      <c r="BH66" s="9">
        <f t="shared" si="116"/>
        <v>0</v>
      </c>
      <c r="BI66" s="9">
        <f t="shared" si="117"/>
        <v>0</v>
      </c>
      <c r="BJ66" s="9">
        <f t="shared" si="118"/>
        <v>0</v>
      </c>
      <c r="BK66" s="69" t="s">
        <v>26</v>
      </c>
      <c r="BL66" s="9">
        <v>96</v>
      </c>
      <c r="BW66" s="9">
        <v>21</v>
      </c>
      <c r="BX66" s="3" t="s">
        <v>132</v>
      </c>
    </row>
    <row r="67" spans="1:76" ht="14.6" x14ac:dyDescent="0.4">
      <c r="A67" s="1">
        <v>42</v>
      </c>
      <c r="B67" s="2" t="s">
        <v>236</v>
      </c>
      <c r="C67" s="2" t="s">
        <v>139</v>
      </c>
      <c r="D67" s="184" t="s">
        <v>140</v>
      </c>
      <c r="E67" s="185"/>
      <c r="F67" s="2" t="s">
        <v>25</v>
      </c>
      <c r="G67" s="9">
        <v>24.91</v>
      </c>
      <c r="H67" s="9"/>
      <c r="I67" s="9">
        <f t="shared" si="96"/>
        <v>0</v>
      </c>
      <c r="J67" s="9">
        <f t="shared" si="97"/>
        <v>0</v>
      </c>
      <c r="K67" s="9">
        <f t="shared" si="98"/>
        <v>0</v>
      </c>
      <c r="L67" s="9">
        <v>1.26E-2</v>
      </c>
      <c r="M67" s="9">
        <f t="shared" si="99"/>
        <v>0.31386599999999998</v>
      </c>
      <c r="N67" s="68" t="s">
        <v>319</v>
      </c>
      <c r="Z67" s="9">
        <f t="shared" si="100"/>
        <v>0</v>
      </c>
      <c r="AB67" s="9">
        <f t="shared" si="101"/>
        <v>0</v>
      </c>
      <c r="AC67" s="9">
        <f t="shared" si="102"/>
        <v>0</v>
      </c>
      <c r="AD67" s="9">
        <f t="shared" si="103"/>
        <v>0</v>
      </c>
      <c r="AE67" s="9">
        <f t="shared" si="104"/>
        <v>0</v>
      </c>
      <c r="AF67" s="9">
        <f t="shared" si="105"/>
        <v>0</v>
      </c>
      <c r="AG67" s="9">
        <f t="shared" si="106"/>
        <v>0</v>
      </c>
      <c r="AH67" s="9">
        <f t="shared" si="107"/>
        <v>0</v>
      </c>
      <c r="AI67" s="12" t="s">
        <v>236</v>
      </c>
      <c r="AJ67" s="9">
        <f t="shared" si="108"/>
        <v>0</v>
      </c>
      <c r="AK67" s="9">
        <f t="shared" si="109"/>
        <v>0</v>
      </c>
      <c r="AL67" s="9">
        <f t="shared" si="110"/>
        <v>0</v>
      </c>
      <c r="AN67" s="9">
        <v>21</v>
      </c>
      <c r="AO67" s="9">
        <f>H67*0</f>
        <v>0</v>
      </c>
      <c r="AP67" s="9">
        <f>H67*(1-0)</f>
        <v>0</v>
      </c>
      <c r="AQ67" s="69" t="s">
        <v>318</v>
      </c>
      <c r="AV67" s="9">
        <f t="shared" si="111"/>
        <v>0</v>
      </c>
      <c r="AW67" s="9">
        <f t="shared" si="112"/>
        <v>0</v>
      </c>
      <c r="AX67" s="9">
        <f t="shared" si="113"/>
        <v>0</v>
      </c>
      <c r="AY67" s="69" t="s">
        <v>347</v>
      </c>
      <c r="AZ67" s="69" t="s">
        <v>346</v>
      </c>
      <c r="BA67" s="12" t="s">
        <v>322</v>
      </c>
      <c r="BC67" s="9">
        <f t="shared" si="114"/>
        <v>0</v>
      </c>
      <c r="BD67" s="9">
        <f t="shared" si="115"/>
        <v>0</v>
      </c>
      <c r="BE67" s="9">
        <v>0</v>
      </c>
      <c r="BF67" s="9">
        <f t="shared" ref="BF67:BF72" si="119">M67</f>
        <v>0.31386599999999998</v>
      </c>
      <c r="BH67" s="9">
        <f t="shared" si="116"/>
        <v>0</v>
      </c>
      <c r="BI67" s="9">
        <f t="shared" si="117"/>
        <v>0</v>
      </c>
      <c r="BJ67" s="9">
        <f t="shared" si="118"/>
        <v>0</v>
      </c>
      <c r="BK67" s="69" t="s">
        <v>26</v>
      </c>
      <c r="BL67" s="9">
        <v>96</v>
      </c>
      <c r="BW67" s="9">
        <v>21</v>
      </c>
      <c r="BX67" s="3" t="s">
        <v>134</v>
      </c>
    </row>
    <row r="68" spans="1:76" ht="14.6" x14ac:dyDescent="0.4">
      <c r="A68" s="1" t="s">
        <v>350</v>
      </c>
      <c r="B68" s="2" t="s">
        <v>236</v>
      </c>
      <c r="C68" s="2" t="s">
        <v>141</v>
      </c>
      <c r="D68" s="184" t="s">
        <v>142</v>
      </c>
      <c r="E68" s="185"/>
      <c r="F68" s="2" t="s">
        <v>25</v>
      </c>
      <c r="G68" s="9">
        <v>74.73</v>
      </c>
      <c r="H68" s="9"/>
      <c r="I68" s="9">
        <f t="shared" si="96"/>
        <v>0</v>
      </c>
      <c r="J68" s="9">
        <f t="shared" si="97"/>
        <v>0</v>
      </c>
      <c r="K68" s="9">
        <f t="shared" si="98"/>
        <v>0</v>
      </c>
      <c r="L68" s="9">
        <v>2.5200000000000001E-3</v>
      </c>
      <c r="M68" s="9">
        <f t="shared" si="99"/>
        <v>0.18831960000000003</v>
      </c>
      <c r="N68" s="68" t="s">
        <v>319</v>
      </c>
      <c r="Z68" s="9">
        <f t="shared" si="100"/>
        <v>0</v>
      </c>
      <c r="AB68" s="9">
        <f t="shared" si="101"/>
        <v>0</v>
      </c>
      <c r="AC68" s="9">
        <f t="shared" si="102"/>
        <v>0</v>
      </c>
      <c r="AD68" s="9">
        <f t="shared" si="103"/>
        <v>0</v>
      </c>
      <c r="AE68" s="9">
        <f t="shared" si="104"/>
        <v>0</v>
      </c>
      <c r="AF68" s="9">
        <f t="shared" si="105"/>
        <v>0</v>
      </c>
      <c r="AG68" s="9">
        <f t="shared" si="106"/>
        <v>0</v>
      </c>
      <c r="AH68" s="9">
        <f t="shared" si="107"/>
        <v>0</v>
      </c>
      <c r="AI68" s="12" t="s">
        <v>236</v>
      </c>
      <c r="AJ68" s="9">
        <f t="shared" si="108"/>
        <v>0</v>
      </c>
      <c r="AK68" s="9">
        <f t="shared" si="109"/>
        <v>0</v>
      </c>
      <c r="AL68" s="9">
        <f t="shared" si="110"/>
        <v>0</v>
      </c>
      <c r="AN68" s="9">
        <v>21</v>
      </c>
      <c r="AO68" s="9">
        <f>H68*0</f>
        <v>0</v>
      </c>
      <c r="AP68" s="9">
        <f>H68*(1-0)</f>
        <v>0</v>
      </c>
      <c r="AQ68" s="69" t="s">
        <v>318</v>
      </c>
      <c r="AV68" s="9">
        <f t="shared" si="111"/>
        <v>0</v>
      </c>
      <c r="AW68" s="9">
        <f t="shared" si="112"/>
        <v>0</v>
      </c>
      <c r="AX68" s="9">
        <f t="shared" si="113"/>
        <v>0</v>
      </c>
      <c r="AY68" s="69" t="s">
        <v>347</v>
      </c>
      <c r="AZ68" s="69" t="s">
        <v>346</v>
      </c>
      <c r="BA68" s="12" t="s">
        <v>322</v>
      </c>
      <c r="BC68" s="9">
        <f t="shared" si="114"/>
        <v>0</v>
      </c>
      <c r="BD68" s="9">
        <f t="shared" si="115"/>
        <v>0</v>
      </c>
      <c r="BE68" s="9">
        <v>0</v>
      </c>
      <c r="BF68" s="9">
        <f t="shared" si="119"/>
        <v>0.18831960000000003</v>
      </c>
      <c r="BH68" s="9">
        <f t="shared" si="116"/>
        <v>0</v>
      </c>
      <c r="BI68" s="9">
        <f t="shared" si="117"/>
        <v>0</v>
      </c>
      <c r="BJ68" s="9">
        <f t="shared" si="118"/>
        <v>0</v>
      </c>
      <c r="BK68" s="69" t="s">
        <v>26</v>
      </c>
      <c r="BL68" s="9">
        <v>96</v>
      </c>
      <c r="BW68" s="9">
        <v>21</v>
      </c>
      <c r="BX68" s="3" t="s">
        <v>136</v>
      </c>
    </row>
    <row r="69" spans="1:76" ht="14.6" x14ac:dyDescent="0.4">
      <c r="A69" s="1">
        <v>43</v>
      </c>
      <c r="B69" s="2" t="s">
        <v>236</v>
      </c>
      <c r="C69" s="2" t="s">
        <v>143</v>
      </c>
      <c r="D69" s="184" t="s">
        <v>144</v>
      </c>
      <c r="E69" s="185"/>
      <c r="F69" s="2" t="s">
        <v>25</v>
      </c>
      <c r="G69" s="9">
        <v>18.68</v>
      </c>
      <c r="H69" s="9"/>
      <c r="I69" s="9">
        <f t="shared" si="96"/>
        <v>0</v>
      </c>
      <c r="J69" s="9">
        <f t="shared" si="97"/>
        <v>0</v>
      </c>
      <c r="K69" s="9">
        <f t="shared" si="98"/>
        <v>0</v>
      </c>
      <c r="L69" s="9">
        <v>0.05</v>
      </c>
      <c r="M69" s="9">
        <f t="shared" si="99"/>
        <v>0.93400000000000005</v>
      </c>
      <c r="N69" s="68" t="s">
        <v>319</v>
      </c>
      <c r="Z69" s="9">
        <f t="shared" si="100"/>
        <v>0</v>
      </c>
      <c r="AB69" s="9">
        <f t="shared" si="101"/>
        <v>0</v>
      </c>
      <c r="AC69" s="9">
        <f t="shared" si="102"/>
        <v>0</v>
      </c>
      <c r="AD69" s="9">
        <f t="shared" si="103"/>
        <v>0</v>
      </c>
      <c r="AE69" s="9">
        <f t="shared" si="104"/>
        <v>0</v>
      </c>
      <c r="AF69" s="9">
        <f t="shared" si="105"/>
        <v>0</v>
      </c>
      <c r="AG69" s="9">
        <f t="shared" si="106"/>
        <v>0</v>
      </c>
      <c r="AH69" s="9">
        <f t="shared" si="107"/>
        <v>0</v>
      </c>
      <c r="AI69" s="12" t="s">
        <v>236</v>
      </c>
      <c r="AJ69" s="9">
        <f t="shared" si="108"/>
        <v>0</v>
      </c>
      <c r="AK69" s="9">
        <f t="shared" si="109"/>
        <v>0</v>
      </c>
      <c r="AL69" s="9">
        <f t="shared" si="110"/>
        <v>0</v>
      </c>
      <c r="AN69" s="9">
        <v>21</v>
      </c>
      <c r="AO69" s="9">
        <f>H69*0</f>
        <v>0</v>
      </c>
      <c r="AP69" s="9">
        <f>H69*(1-0)</f>
        <v>0</v>
      </c>
      <c r="AQ69" s="69" t="s">
        <v>318</v>
      </c>
      <c r="AV69" s="9">
        <f t="shared" si="111"/>
        <v>0</v>
      </c>
      <c r="AW69" s="9">
        <f t="shared" si="112"/>
        <v>0</v>
      </c>
      <c r="AX69" s="9">
        <f t="shared" si="113"/>
        <v>0</v>
      </c>
      <c r="AY69" s="69" t="s">
        <v>347</v>
      </c>
      <c r="AZ69" s="69" t="s">
        <v>346</v>
      </c>
      <c r="BA69" s="12" t="s">
        <v>322</v>
      </c>
      <c r="BC69" s="9">
        <f t="shared" si="114"/>
        <v>0</v>
      </c>
      <c r="BD69" s="9">
        <f t="shared" si="115"/>
        <v>0</v>
      </c>
      <c r="BE69" s="9">
        <v>0</v>
      </c>
      <c r="BF69" s="9">
        <f t="shared" si="119"/>
        <v>0.93400000000000005</v>
      </c>
      <c r="BH69" s="9">
        <f t="shared" si="116"/>
        <v>0</v>
      </c>
      <c r="BI69" s="9">
        <f t="shared" si="117"/>
        <v>0</v>
      </c>
      <c r="BJ69" s="9">
        <f t="shared" si="118"/>
        <v>0</v>
      </c>
      <c r="BK69" s="69" t="s">
        <v>26</v>
      </c>
      <c r="BL69" s="9">
        <v>96</v>
      </c>
      <c r="BW69" s="9">
        <v>21</v>
      </c>
      <c r="BX69" s="3" t="s">
        <v>137</v>
      </c>
    </row>
    <row r="70" spans="1:76" ht="14.6" x14ac:dyDescent="0.4">
      <c r="A70" s="1" t="s">
        <v>351</v>
      </c>
      <c r="B70" s="2" t="s">
        <v>236</v>
      </c>
      <c r="C70" s="2" t="s">
        <v>145</v>
      </c>
      <c r="D70" s="184" t="s">
        <v>146</v>
      </c>
      <c r="E70" s="185"/>
      <c r="F70" s="2" t="s">
        <v>25</v>
      </c>
      <c r="G70" s="9">
        <v>38.049999999999997</v>
      </c>
      <c r="H70" s="9"/>
      <c r="I70" s="9">
        <f t="shared" si="96"/>
        <v>0</v>
      </c>
      <c r="J70" s="9">
        <f t="shared" si="97"/>
        <v>0</v>
      </c>
      <c r="K70" s="9">
        <f t="shared" si="98"/>
        <v>0</v>
      </c>
      <c r="L70" s="9">
        <v>4.5999999999999999E-2</v>
      </c>
      <c r="M70" s="9">
        <f t="shared" si="99"/>
        <v>1.7502999999999997</v>
      </c>
      <c r="N70" s="68" t="s">
        <v>319</v>
      </c>
      <c r="Z70" s="9">
        <f t="shared" si="100"/>
        <v>0</v>
      </c>
      <c r="AB70" s="9">
        <f t="shared" si="101"/>
        <v>0</v>
      </c>
      <c r="AC70" s="9">
        <f t="shared" si="102"/>
        <v>0</v>
      </c>
      <c r="AD70" s="9">
        <f t="shared" si="103"/>
        <v>0</v>
      </c>
      <c r="AE70" s="9">
        <f t="shared" si="104"/>
        <v>0</v>
      </c>
      <c r="AF70" s="9">
        <f t="shared" si="105"/>
        <v>0</v>
      </c>
      <c r="AG70" s="9">
        <f t="shared" si="106"/>
        <v>0</v>
      </c>
      <c r="AH70" s="9">
        <f t="shared" si="107"/>
        <v>0</v>
      </c>
      <c r="AI70" s="12" t="s">
        <v>236</v>
      </c>
      <c r="AJ70" s="9">
        <f t="shared" si="108"/>
        <v>0</v>
      </c>
      <c r="AK70" s="9">
        <f t="shared" si="109"/>
        <v>0</v>
      </c>
      <c r="AL70" s="9">
        <f t="shared" si="110"/>
        <v>0</v>
      </c>
      <c r="AN70" s="9">
        <v>21</v>
      </c>
      <c r="AO70" s="9">
        <f>H70*0</f>
        <v>0</v>
      </c>
      <c r="AP70" s="9">
        <f>H70*(1-0)</f>
        <v>0</v>
      </c>
      <c r="AQ70" s="69" t="s">
        <v>318</v>
      </c>
      <c r="AV70" s="9">
        <f t="shared" si="111"/>
        <v>0</v>
      </c>
      <c r="AW70" s="9">
        <f t="shared" si="112"/>
        <v>0</v>
      </c>
      <c r="AX70" s="9">
        <f t="shared" si="113"/>
        <v>0</v>
      </c>
      <c r="AY70" s="69" t="s">
        <v>347</v>
      </c>
      <c r="AZ70" s="69" t="s">
        <v>346</v>
      </c>
      <c r="BA70" s="12" t="s">
        <v>322</v>
      </c>
      <c r="BC70" s="9">
        <f t="shared" si="114"/>
        <v>0</v>
      </c>
      <c r="BD70" s="9">
        <f t="shared" si="115"/>
        <v>0</v>
      </c>
      <c r="BE70" s="9">
        <v>0</v>
      </c>
      <c r="BF70" s="9">
        <f t="shared" si="119"/>
        <v>1.7502999999999997</v>
      </c>
      <c r="BH70" s="9">
        <f t="shared" si="116"/>
        <v>0</v>
      </c>
      <c r="BI70" s="9">
        <f t="shared" si="117"/>
        <v>0</v>
      </c>
      <c r="BJ70" s="9">
        <f t="shared" si="118"/>
        <v>0</v>
      </c>
      <c r="BK70" s="69" t="s">
        <v>26</v>
      </c>
      <c r="BL70" s="9">
        <v>96</v>
      </c>
      <c r="BW70" s="9">
        <v>21</v>
      </c>
      <c r="BX70" s="3" t="s">
        <v>138</v>
      </c>
    </row>
    <row r="71" spans="1:76" ht="14.6" x14ac:dyDescent="0.4">
      <c r="A71" s="1">
        <v>44</v>
      </c>
      <c r="B71" s="2" t="s">
        <v>236</v>
      </c>
      <c r="C71" s="2" t="s">
        <v>147</v>
      </c>
      <c r="D71" s="184" t="s">
        <v>148</v>
      </c>
      <c r="E71" s="185"/>
      <c r="F71" s="2" t="s">
        <v>51</v>
      </c>
      <c r="G71" s="9">
        <v>3</v>
      </c>
      <c r="H71" s="9"/>
      <c r="I71" s="9">
        <f t="shared" si="96"/>
        <v>0</v>
      </c>
      <c r="J71" s="9">
        <f t="shared" si="97"/>
        <v>0</v>
      </c>
      <c r="K71" s="9">
        <f t="shared" si="98"/>
        <v>0</v>
      </c>
      <c r="L71" s="9">
        <v>6.9339999999999999E-2</v>
      </c>
      <c r="M71" s="9">
        <f t="shared" si="99"/>
        <v>0.20801999999999998</v>
      </c>
      <c r="N71" s="68" t="s">
        <v>353</v>
      </c>
      <c r="Z71" s="9">
        <f t="shared" si="100"/>
        <v>0</v>
      </c>
      <c r="AB71" s="9">
        <f t="shared" si="101"/>
        <v>0</v>
      </c>
      <c r="AC71" s="9">
        <f t="shared" si="102"/>
        <v>0</v>
      </c>
      <c r="AD71" s="9">
        <f t="shared" si="103"/>
        <v>0</v>
      </c>
      <c r="AE71" s="9">
        <f t="shared" si="104"/>
        <v>0</v>
      </c>
      <c r="AF71" s="9">
        <f t="shared" si="105"/>
        <v>0</v>
      </c>
      <c r="AG71" s="9">
        <f t="shared" si="106"/>
        <v>0</v>
      </c>
      <c r="AH71" s="9">
        <f t="shared" si="107"/>
        <v>0</v>
      </c>
      <c r="AI71" s="12" t="s">
        <v>236</v>
      </c>
      <c r="AJ71" s="9">
        <f t="shared" si="108"/>
        <v>0</v>
      </c>
      <c r="AK71" s="9">
        <f t="shared" si="109"/>
        <v>0</v>
      </c>
      <c r="AL71" s="9">
        <f t="shared" si="110"/>
        <v>0</v>
      </c>
      <c r="AN71" s="9">
        <v>21</v>
      </c>
      <c r="AO71" s="9">
        <f>H71*0.078870968</f>
        <v>0</v>
      </c>
      <c r="AP71" s="9">
        <f>H71*(1-0.078870968)</f>
        <v>0</v>
      </c>
      <c r="AQ71" s="69" t="s">
        <v>318</v>
      </c>
      <c r="AV71" s="9">
        <f t="shared" si="111"/>
        <v>0</v>
      </c>
      <c r="AW71" s="9">
        <f t="shared" si="112"/>
        <v>0</v>
      </c>
      <c r="AX71" s="9">
        <f t="shared" si="113"/>
        <v>0</v>
      </c>
      <c r="AY71" s="69" t="s">
        <v>347</v>
      </c>
      <c r="AZ71" s="69" t="s">
        <v>346</v>
      </c>
      <c r="BA71" s="12" t="s">
        <v>322</v>
      </c>
      <c r="BC71" s="9">
        <f t="shared" si="114"/>
        <v>0</v>
      </c>
      <c r="BD71" s="9">
        <f t="shared" si="115"/>
        <v>0</v>
      </c>
      <c r="BE71" s="9">
        <v>0</v>
      </c>
      <c r="BF71" s="9">
        <f t="shared" si="119"/>
        <v>0.20801999999999998</v>
      </c>
      <c r="BH71" s="9">
        <f t="shared" si="116"/>
        <v>0</v>
      </c>
      <c r="BI71" s="9">
        <f t="shared" si="117"/>
        <v>0</v>
      </c>
      <c r="BJ71" s="9">
        <f t="shared" si="118"/>
        <v>0</v>
      </c>
      <c r="BK71" s="69" t="s">
        <v>26</v>
      </c>
      <c r="BL71" s="9">
        <v>96</v>
      </c>
      <c r="BW71" s="9">
        <v>21</v>
      </c>
      <c r="BX71" s="3" t="s">
        <v>140</v>
      </c>
    </row>
    <row r="72" spans="1:76" ht="14.6" x14ac:dyDescent="0.4">
      <c r="A72" s="1" t="s">
        <v>352</v>
      </c>
      <c r="B72" s="2" t="s">
        <v>236</v>
      </c>
      <c r="C72" s="2" t="s">
        <v>149</v>
      </c>
      <c r="D72" s="184" t="s">
        <v>150</v>
      </c>
      <c r="E72" s="185"/>
      <c r="F72" s="2" t="s">
        <v>51</v>
      </c>
      <c r="G72" s="9">
        <v>3</v>
      </c>
      <c r="H72" s="9"/>
      <c r="I72" s="9">
        <f t="shared" si="96"/>
        <v>0</v>
      </c>
      <c r="J72" s="9">
        <f t="shared" si="97"/>
        <v>0</v>
      </c>
      <c r="K72" s="9">
        <f t="shared" si="98"/>
        <v>0</v>
      </c>
      <c r="L72" s="9">
        <v>3.4340000000000002E-2</v>
      </c>
      <c r="M72" s="9">
        <f t="shared" si="99"/>
        <v>0.10302</v>
      </c>
      <c r="N72" s="68" t="s">
        <v>353</v>
      </c>
      <c r="Z72" s="9">
        <f t="shared" si="100"/>
        <v>0</v>
      </c>
      <c r="AB72" s="9">
        <f t="shared" si="101"/>
        <v>0</v>
      </c>
      <c r="AC72" s="9">
        <f t="shared" si="102"/>
        <v>0</v>
      </c>
      <c r="AD72" s="9">
        <f t="shared" si="103"/>
        <v>0</v>
      </c>
      <c r="AE72" s="9">
        <f t="shared" si="104"/>
        <v>0</v>
      </c>
      <c r="AF72" s="9">
        <f t="shared" si="105"/>
        <v>0</v>
      </c>
      <c r="AG72" s="9">
        <f t="shared" si="106"/>
        <v>0</v>
      </c>
      <c r="AH72" s="9">
        <f t="shared" si="107"/>
        <v>0</v>
      </c>
      <c r="AI72" s="12" t="s">
        <v>236</v>
      </c>
      <c r="AJ72" s="9">
        <f t="shared" si="108"/>
        <v>0</v>
      </c>
      <c r="AK72" s="9">
        <f t="shared" si="109"/>
        <v>0</v>
      </c>
      <c r="AL72" s="9">
        <f t="shared" si="110"/>
        <v>0</v>
      </c>
      <c r="AN72" s="9">
        <v>21</v>
      </c>
      <c r="AO72" s="9">
        <f>H72*0.016891192</f>
        <v>0</v>
      </c>
      <c r="AP72" s="9">
        <f>H72*(1-0.016891192)</f>
        <v>0</v>
      </c>
      <c r="AQ72" s="69" t="s">
        <v>318</v>
      </c>
      <c r="AV72" s="9">
        <f t="shared" si="111"/>
        <v>0</v>
      </c>
      <c r="AW72" s="9">
        <f t="shared" si="112"/>
        <v>0</v>
      </c>
      <c r="AX72" s="9">
        <f t="shared" si="113"/>
        <v>0</v>
      </c>
      <c r="AY72" s="69" t="s">
        <v>347</v>
      </c>
      <c r="AZ72" s="69" t="s">
        <v>346</v>
      </c>
      <c r="BA72" s="12" t="s">
        <v>322</v>
      </c>
      <c r="BC72" s="9">
        <f t="shared" si="114"/>
        <v>0</v>
      </c>
      <c r="BD72" s="9">
        <f t="shared" si="115"/>
        <v>0</v>
      </c>
      <c r="BE72" s="9">
        <v>0</v>
      </c>
      <c r="BF72" s="9">
        <f t="shared" si="119"/>
        <v>0.10302</v>
      </c>
      <c r="BH72" s="9">
        <f t="shared" si="116"/>
        <v>0</v>
      </c>
      <c r="BI72" s="9">
        <f t="shared" si="117"/>
        <v>0</v>
      </c>
      <c r="BJ72" s="9">
        <f t="shared" si="118"/>
        <v>0</v>
      </c>
      <c r="BK72" s="69" t="s">
        <v>26</v>
      </c>
      <c r="BL72" s="9">
        <v>96</v>
      </c>
      <c r="BW72" s="9">
        <v>21</v>
      </c>
      <c r="BX72" s="3" t="s">
        <v>142</v>
      </c>
    </row>
    <row r="73" spans="1:76" ht="14.6" x14ac:dyDescent="0.4">
      <c r="A73" s="70" t="s">
        <v>236</v>
      </c>
      <c r="B73" s="11" t="s">
        <v>236</v>
      </c>
      <c r="C73" s="11" t="s">
        <v>151</v>
      </c>
      <c r="D73" s="240" t="s">
        <v>152</v>
      </c>
      <c r="E73" s="241"/>
      <c r="F73" s="71" t="s">
        <v>20</v>
      </c>
      <c r="G73" s="71" t="s">
        <v>20</v>
      </c>
      <c r="H73" s="71" t="s">
        <v>20</v>
      </c>
      <c r="I73" s="13">
        <f>ROUND(SUM(I74:I74),0)</f>
        <v>0</v>
      </c>
      <c r="J73" s="13">
        <f>ROUND(SUM(J74:J74),0)</f>
        <v>0</v>
      </c>
      <c r="K73" s="13">
        <f>ROUND(SUM(K74:K74),0)</f>
        <v>0</v>
      </c>
      <c r="L73" s="12" t="s">
        <v>236</v>
      </c>
      <c r="M73" s="13">
        <f>SUM(M74:M74)</f>
        <v>3.4299999999999999E-3</v>
      </c>
      <c r="N73" s="72" t="s">
        <v>236</v>
      </c>
      <c r="AI73" s="12" t="s">
        <v>236</v>
      </c>
      <c r="AS73" s="13">
        <f>SUM(AJ74:AJ74)</f>
        <v>0</v>
      </c>
      <c r="AT73" s="13">
        <f>SUM(AK74:AK74)</f>
        <v>0</v>
      </c>
      <c r="AU73" s="13">
        <f>SUM(AL74:AL74)</f>
        <v>0</v>
      </c>
      <c r="BW73" s="9">
        <v>21</v>
      </c>
      <c r="BX73" s="3" t="s">
        <v>144</v>
      </c>
    </row>
    <row r="74" spans="1:76" ht="14.6" x14ac:dyDescent="0.4">
      <c r="A74" s="1">
        <v>47</v>
      </c>
      <c r="B74" s="2" t="s">
        <v>236</v>
      </c>
      <c r="C74" s="2" t="s">
        <v>153</v>
      </c>
      <c r="D74" s="184" t="s">
        <v>154</v>
      </c>
      <c r="E74" s="185"/>
      <c r="F74" s="2" t="s">
        <v>155</v>
      </c>
      <c r="G74" s="9">
        <v>1</v>
      </c>
      <c r="H74" s="9">
        <f>'ELektro MAR '!J55</f>
        <v>0</v>
      </c>
      <c r="I74" s="9">
        <f>'ELektro MAR '!H54</f>
        <v>0</v>
      </c>
      <c r="J74" s="9">
        <f>ROUND(G74*AP74,2)</f>
        <v>0</v>
      </c>
      <c r="K74" s="9">
        <f>'ELektro MAR '!I54</f>
        <v>0</v>
      </c>
      <c r="L74" s="9">
        <v>3.4299999999999999E-3</v>
      </c>
      <c r="M74" s="9">
        <f>G74*L74</f>
        <v>3.4299999999999999E-3</v>
      </c>
      <c r="N74" s="68" t="s">
        <v>236</v>
      </c>
      <c r="Z74" s="9">
        <f>ROUND(IF(AQ74="5",BJ74,0),2)</f>
        <v>0</v>
      </c>
      <c r="AB74" s="9">
        <f>ROUND(IF(AQ74="1",BH74,0),2)</f>
        <v>0</v>
      </c>
      <c r="AC74" s="9">
        <f>ROUND(IF(AQ74="1",BI74,0),2)</f>
        <v>0</v>
      </c>
      <c r="AD74" s="9">
        <f>ROUND(IF(AQ74="7",BH74,0),2)</f>
        <v>0</v>
      </c>
      <c r="AE74" s="9">
        <f>ROUND(IF(AQ74="7",BI74,0),2)</f>
        <v>0</v>
      </c>
      <c r="AF74" s="9">
        <f>ROUND(IF(AQ74="2",BH74,0),2)</f>
        <v>0</v>
      </c>
      <c r="AG74" s="9">
        <f>ROUND(IF(AQ74="2",BI74,0),2)</f>
        <v>0</v>
      </c>
      <c r="AH74" s="9">
        <f>ROUND(IF(AQ74="0",BJ74,0),2)</f>
        <v>0</v>
      </c>
      <c r="AI74" s="12" t="s">
        <v>236</v>
      </c>
      <c r="AJ74" s="9">
        <f>IF(AN74=0,K74,0)</f>
        <v>0</v>
      </c>
      <c r="AK74" s="9">
        <f>IF(AN74=12,K74,0)</f>
        <v>0</v>
      </c>
      <c r="AL74" s="9">
        <f>IF(AN74=21,K74,0)</f>
        <v>0</v>
      </c>
      <c r="AN74" s="9">
        <v>21</v>
      </c>
      <c r="AO74" s="9">
        <f>H74*0</f>
        <v>0</v>
      </c>
      <c r="AP74" s="9">
        <f>H74*(1-0)</f>
        <v>0</v>
      </c>
      <c r="AQ74" s="69" t="s">
        <v>323</v>
      </c>
      <c r="AV74" s="9">
        <f>ROUND(AW74+AX74,2)</f>
        <v>0</v>
      </c>
      <c r="AW74" s="9">
        <f>ROUND(G74*AO74,2)</f>
        <v>0</v>
      </c>
      <c r="AX74" s="9">
        <f>ROUND(G74*AP74,2)</f>
        <v>0</v>
      </c>
      <c r="AY74" s="69" t="s">
        <v>354</v>
      </c>
      <c r="AZ74" s="69" t="s">
        <v>346</v>
      </c>
      <c r="BA74" s="12" t="s">
        <v>322</v>
      </c>
      <c r="BC74" s="9">
        <f>AW74+AX74</f>
        <v>0</v>
      </c>
      <c r="BD74" s="9">
        <f>H74/(100-BE74)*100</f>
        <v>0</v>
      </c>
      <c r="BE74" s="9">
        <v>0</v>
      </c>
      <c r="BF74" s="9">
        <f>M74</f>
        <v>3.4299999999999999E-3</v>
      </c>
      <c r="BH74" s="9">
        <f>G74*AO74</f>
        <v>0</v>
      </c>
      <c r="BI74" s="9">
        <f>G74*AP74</f>
        <v>0</v>
      </c>
      <c r="BJ74" s="9">
        <f>G74*H74</f>
        <v>0</v>
      </c>
      <c r="BK74" s="69" t="s">
        <v>26</v>
      </c>
      <c r="BL74" s="9"/>
      <c r="BW74" s="9">
        <v>21</v>
      </c>
      <c r="BX74" s="3" t="s">
        <v>146</v>
      </c>
    </row>
    <row r="75" spans="1:76" ht="14.6" x14ac:dyDescent="0.4">
      <c r="A75" s="70" t="s">
        <v>236</v>
      </c>
      <c r="B75" s="11" t="s">
        <v>236</v>
      </c>
      <c r="C75" s="11" t="s">
        <v>156</v>
      </c>
      <c r="D75" s="240" t="s">
        <v>157</v>
      </c>
      <c r="E75" s="241"/>
      <c r="F75" s="71" t="s">
        <v>20</v>
      </c>
      <c r="G75" s="71" t="s">
        <v>20</v>
      </c>
      <c r="H75" s="71" t="s">
        <v>20</v>
      </c>
      <c r="I75" s="13">
        <f>ROUND(SUM(I76:I83),0)</f>
        <v>0</v>
      </c>
      <c r="J75" s="13">
        <f>ROUND(SUM(J76:J83),0)</f>
        <v>0</v>
      </c>
      <c r="K75" s="13">
        <f>ROUND(SUM(K76:K83),0)</f>
        <v>0</v>
      </c>
      <c r="L75" s="12" t="s">
        <v>236</v>
      </c>
      <c r="M75" s="13">
        <f>SUM(M76:M83)</f>
        <v>0</v>
      </c>
      <c r="N75" s="72" t="s">
        <v>236</v>
      </c>
      <c r="AI75" s="12" t="s">
        <v>236</v>
      </c>
      <c r="AS75" s="13">
        <f>SUM(AJ76:AJ83)</f>
        <v>0</v>
      </c>
      <c r="AT75" s="13">
        <f>SUM(AK76:AK83)</f>
        <v>0</v>
      </c>
      <c r="AU75" s="13">
        <f>SUM(AL76:AL83)</f>
        <v>0</v>
      </c>
      <c r="BW75" s="9">
        <v>21</v>
      </c>
      <c r="BX75" s="3" t="s">
        <v>148</v>
      </c>
    </row>
    <row r="76" spans="1:76" ht="14.6" x14ac:dyDescent="0.4">
      <c r="A76" s="1">
        <v>48</v>
      </c>
      <c r="B76" s="2" t="s">
        <v>236</v>
      </c>
      <c r="C76" s="2" t="s">
        <v>158</v>
      </c>
      <c r="D76" s="184" t="s">
        <v>159</v>
      </c>
      <c r="E76" s="185"/>
      <c r="F76" s="2" t="s">
        <v>160</v>
      </c>
      <c r="G76" s="9">
        <v>3.79</v>
      </c>
      <c r="H76" s="9"/>
      <c r="I76" s="9">
        <f t="shared" ref="I76:I83" si="120">ROUND(G76*AO76,2)</f>
        <v>0</v>
      </c>
      <c r="J76" s="9">
        <f t="shared" ref="J76:J83" si="121">ROUND(G76*AP76,2)</f>
        <v>0</v>
      </c>
      <c r="K76" s="9">
        <f t="shared" ref="K76:K83" si="122">ROUND(G76*H76,0)</f>
        <v>0</v>
      </c>
      <c r="L76" s="9">
        <v>0</v>
      </c>
      <c r="M76" s="9">
        <f t="shared" ref="M76:M83" si="123">G76*L76</f>
        <v>0</v>
      </c>
      <c r="N76" s="68" t="s">
        <v>319</v>
      </c>
      <c r="Z76" s="9">
        <f t="shared" ref="Z76:Z83" si="124">ROUND(IF(AQ76="5",BJ76,0),2)</f>
        <v>0</v>
      </c>
      <c r="AB76" s="9">
        <f t="shared" ref="AB76:AB83" si="125">ROUND(IF(AQ76="1",BH76,0),2)</f>
        <v>0</v>
      </c>
      <c r="AC76" s="9">
        <f t="shared" ref="AC76:AC83" si="126">ROUND(IF(AQ76="1",BI76,0),2)</f>
        <v>0</v>
      </c>
      <c r="AD76" s="9">
        <f t="shared" ref="AD76:AD83" si="127">ROUND(IF(AQ76="7",BH76,0),2)</f>
        <v>0</v>
      </c>
      <c r="AE76" s="9">
        <f t="shared" ref="AE76:AE83" si="128">ROUND(IF(AQ76="7",BI76,0),2)</f>
        <v>0</v>
      </c>
      <c r="AF76" s="9">
        <f t="shared" ref="AF76:AF83" si="129">ROUND(IF(AQ76="2",BH76,0),2)</f>
        <v>0</v>
      </c>
      <c r="AG76" s="9">
        <f t="shared" ref="AG76:AG83" si="130">ROUND(IF(AQ76="2",BI76,0),2)</f>
        <v>0</v>
      </c>
      <c r="AH76" s="9">
        <f t="shared" ref="AH76:AH83" si="131">ROUND(IF(AQ76="0",BJ76,0),2)</f>
        <v>0</v>
      </c>
      <c r="AI76" s="12" t="s">
        <v>236</v>
      </c>
      <c r="AJ76" s="9">
        <f t="shared" ref="AJ76:AJ83" si="132">IF(AN76=0,K76,0)</f>
        <v>0</v>
      </c>
      <c r="AK76" s="9">
        <f t="shared" ref="AK76:AK83" si="133">IF(AN76=12,K76,0)</f>
        <v>0</v>
      </c>
      <c r="AL76" s="9">
        <f t="shared" ref="AL76:AL83" si="134">IF(AN76=21,K76,0)</f>
        <v>0</v>
      </c>
      <c r="AN76" s="9">
        <v>21</v>
      </c>
      <c r="AO76" s="9">
        <f t="shared" ref="AO76:AO83" si="135">H76*0</f>
        <v>0</v>
      </c>
      <c r="AP76" s="9">
        <f t="shared" ref="AP76:AP83" si="136">H76*(1-0)</f>
        <v>0</v>
      </c>
      <c r="AQ76" s="69" t="s">
        <v>328</v>
      </c>
      <c r="AV76" s="9">
        <f t="shared" ref="AV76:AV83" si="137">ROUND(AW76+AX76,2)</f>
        <v>0</v>
      </c>
      <c r="AW76" s="9">
        <f t="shared" ref="AW76:AW83" si="138">ROUND(G76*AO76,2)</f>
        <v>0</v>
      </c>
      <c r="AX76" s="9">
        <f t="shared" ref="AX76:AX83" si="139">ROUND(G76*AP76,2)</f>
        <v>0</v>
      </c>
      <c r="AY76" s="69" t="s">
        <v>355</v>
      </c>
      <c r="AZ76" s="69" t="s">
        <v>346</v>
      </c>
      <c r="BA76" s="12" t="s">
        <v>322</v>
      </c>
      <c r="BC76" s="9">
        <f t="shared" ref="BC76:BC83" si="140">AW76+AX76</f>
        <v>0</v>
      </c>
      <c r="BD76" s="9">
        <f t="shared" ref="BD76:BD83" si="141">H76/(100-BE76)*100</f>
        <v>0</v>
      </c>
      <c r="BE76" s="9">
        <v>0</v>
      </c>
      <c r="BF76" s="9">
        <f t="shared" ref="BF76:BF83" si="142">M76</f>
        <v>0</v>
      </c>
      <c r="BH76" s="9">
        <f t="shared" ref="BH76:BH83" si="143">G76*AO76</f>
        <v>0</v>
      </c>
      <c r="BI76" s="9">
        <f t="shared" ref="BI76:BI83" si="144">G76*AP76</f>
        <v>0</v>
      </c>
      <c r="BJ76" s="9">
        <f t="shared" ref="BJ76:BJ83" si="145">G76*H76</f>
        <v>0</v>
      </c>
      <c r="BK76" s="69" t="s">
        <v>26</v>
      </c>
      <c r="BL76" s="9"/>
      <c r="BW76" s="9">
        <v>21</v>
      </c>
      <c r="BX76" s="3" t="s">
        <v>150</v>
      </c>
    </row>
    <row r="77" spans="1:76" ht="14.6" x14ac:dyDescent="0.4">
      <c r="A77" s="1">
        <v>49</v>
      </c>
      <c r="B77" s="2" t="s">
        <v>236</v>
      </c>
      <c r="C77" s="2" t="s">
        <v>161</v>
      </c>
      <c r="D77" s="184" t="s">
        <v>162</v>
      </c>
      <c r="E77" s="185"/>
      <c r="F77" s="2" t="s">
        <v>160</v>
      </c>
      <c r="G77" s="9">
        <v>3.79</v>
      </c>
      <c r="H77" s="9"/>
      <c r="I77" s="9">
        <f t="shared" si="120"/>
        <v>0</v>
      </c>
      <c r="J77" s="9">
        <f t="shared" si="121"/>
        <v>0</v>
      </c>
      <c r="K77" s="9">
        <f t="shared" si="122"/>
        <v>0</v>
      </c>
      <c r="L77" s="9">
        <v>0</v>
      </c>
      <c r="M77" s="9">
        <f t="shared" si="123"/>
        <v>0</v>
      </c>
      <c r="N77" s="68" t="s">
        <v>319</v>
      </c>
      <c r="Z77" s="9">
        <f t="shared" si="124"/>
        <v>0</v>
      </c>
      <c r="AB77" s="9">
        <f t="shared" si="125"/>
        <v>0</v>
      </c>
      <c r="AC77" s="9">
        <f t="shared" si="126"/>
        <v>0</v>
      </c>
      <c r="AD77" s="9">
        <f t="shared" si="127"/>
        <v>0</v>
      </c>
      <c r="AE77" s="9">
        <f t="shared" si="128"/>
        <v>0</v>
      </c>
      <c r="AF77" s="9">
        <f t="shared" si="129"/>
        <v>0</v>
      </c>
      <c r="AG77" s="9">
        <f t="shared" si="130"/>
        <v>0</v>
      </c>
      <c r="AH77" s="9">
        <f t="shared" si="131"/>
        <v>0</v>
      </c>
      <c r="AI77" s="12" t="s">
        <v>236</v>
      </c>
      <c r="AJ77" s="9">
        <f t="shared" si="132"/>
        <v>0</v>
      </c>
      <c r="AK77" s="9">
        <f t="shared" si="133"/>
        <v>0</v>
      </c>
      <c r="AL77" s="9">
        <f t="shared" si="134"/>
        <v>0</v>
      </c>
      <c r="AN77" s="9">
        <v>21</v>
      </c>
      <c r="AO77" s="9">
        <f t="shared" si="135"/>
        <v>0</v>
      </c>
      <c r="AP77" s="9">
        <f t="shared" si="136"/>
        <v>0</v>
      </c>
      <c r="AQ77" s="69" t="s">
        <v>328</v>
      </c>
      <c r="AV77" s="9">
        <f t="shared" si="137"/>
        <v>0</v>
      </c>
      <c r="AW77" s="9">
        <f t="shared" si="138"/>
        <v>0</v>
      </c>
      <c r="AX77" s="9">
        <f t="shared" si="139"/>
        <v>0</v>
      </c>
      <c r="AY77" s="69" t="s">
        <v>355</v>
      </c>
      <c r="AZ77" s="69" t="s">
        <v>346</v>
      </c>
      <c r="BA77" s="12" t="s">
        <v>322</v>
      </c>
      <c r="BC77" s="9">
        <f t="shared" si="140"/>
        <v>0</v>
      </c>
      <c r="BD77" s="9">
        <f t="shared" si="141"/>
        <v>0</v>
      </c>
      <c r="BE77" s="9">
        <v>0</v>
      </c>
      <c r="BF77" s="9">
        <f t="shared" si="142"/>
        <v>0</v>
      </c>
      <c r="BH77" s="9">
        <f t="shared" si="143"/>
        <v>0</v>
      </c>
      <c r="BI77" s="9">
        <f t="shared" si="144"/>
        <v>0</v>
      </c>
      <c r="BJ77" s="9">
        <f t="shared" si="145"/>
        <v>0</v>
      </c>
      <c r="BK77" s="69" t="s">
        <v>26</v>
      </c>
      <c r="BL77" s="9"/>
    </row>
    <row r="78" spans="1:76" ht="14.6" x14ac:dyDescent="0.4">
      <c r="A78" s="1">
        <v>50</v>
      </c>
      <c r="B78" s="2" t="s">
        <v>236</v>
      </c>
      <c r="C78" s="2" t="s">
        <v>163</v>
      </c>
      <c r="D78" s="184" t="s">
        <v>164</v>
      </c>
      <c r="E78" s="185"/>
      <c r="F78" s="2" t="s">
        <v>160</v>
      </c>
      <c r="G78" s="9">
        <v>53.06</v>
      </c>
      <c r="H78" s="9"/>
      <c r="I78" s="9">
        <f t="shared" si="120"/>
        <v>0</v>
      </c>
      <c r="J78" s="9">
        <f t="shared" si="121"/>
        <v>0</v>
      </c>
      <c r="K78" s="9">
        <f t="shared" si="122"/>
        <v>0</v>
      </c>
      <c r="L78" s="9">
        <v>0</v>
      </c>
      <c r="M78" s="9">
        <f t="shared" si="123"/>
        <v>0</v>
      </c>
      <c r="N78" s="68" t="s">
        <v>319</v>
      </c>
      <c r="Z78" s="9">
        <f t="shared" si="124"/>
        <v>0</v>
      </c>
      <c r="AB78" s="9">
        <f t="shared" si="125"/>
        <v>0</v>
      </c>
      <c r="AC78" s="9">
        <f t="shared" si="126"/>
        <v>0</v>
      </c>
      <c r="AD78" s="9">
        <f t="shared" si="127"/>
        <v>0</v>
      </c>
      <c r="AE78" s="9">
        <f t="shared" si="128"/>
        <v>0</v>
      </c>
      <c r="AF78" s="9">
        <f t="shared" si="129"/>
        <v>0</v>
      </c>
      <c r="AG78" s="9">
        <f t="shared" si="130"/>
        <v>0</v>
      </c>
      <c r="AH78" s="9">
        <f t="shared" si="131"/>
        <v>0</v>
      </c>
      <c r="AI78" s="12" t="s">
        <v>236</v>
      </c>
      <c r="AJ78" s="9">
        <f t="shared" si="132"/>
        <v>0</v>
      </c>
      <c r="AK78" s="9">
        <f t="shared" si="133"/>
        <v>0</v>
      </c>
      <c r="AL78" s="9">
        <f t="shared" si="134"/>
        <v>0</v>
      </c>
      <c r="AN78" s="9">
        <v>21</v>
      </c>
      <c r="AO78" s="9">
        <f t="shared" si="135"/>
        <v>0</v>
      </c>
      <c r="AP78" s="9">
        <f t="shared" si="136"/>
        <v>0</v>
      </c>
      <c r="AQ78" s="69" t="s">
        <v>328</v>
      </c>
      <c r="AV78" s="9">
        <f t="shared" si="137"/>
        <v>0</v>
      </c>
      <c r="AW78" s="9">
        <f t="shared" si="138"/>
        <v>0</v>
      </c>
      <c r="AX78" s="9">
        <f t="shared" si="139"/>
        <v>0</v>
      </c>
      <c r="AY78" s="69" t="s">
        <v>355</v>
      </c>
      <c r="AZ78" s="69" t="s">
        <v>346</v>
      </c>
      <c r="BA78" s="12" t="s">
        <v>322</v>
      </c>
      <c r="BC78" s="9">
        <f t="shared" si="140"/>
        <v>0</v>
      </c>
      <c r="BD78" s="9">
        <f t="shared" si="141"/>
        <v>0</v>
      </c>
      <c r="BE78" s="9">
        <v>0</v>
      </c>
      <c r="BF78" s="9">
        <f t="shared" si="142"/>
        <v>0</v>
      </c>
      <c r="BH78" s="9">
        <f t="shared" si="143"/>
        <v>0</v>
      </c>
      <c r="BI78" s="9">
        <f t="shared" si="144"/>
        <v>0</v>
      </c>
      <c r="BJ78" s="9">
        <f t="shared" si="145"/>
        <v>0</v>
      </c>
      <c r="BK78" s="69" t="s">
        <v>26</v>
      </c>
      <c r="BL78" s="9"/>
      <c r="BW78" s="9">
        <v>21</v>
      </c>
      <c r="BX78" s="3" t="s">
        <v>154</v>
      </c>
    </row>
    <row r="79" spans="1:76" ht="14.6" x14ac:dyDescent="0.4">
      <c r="A79" s="1">
        <v>51</v>
      </c>
      <c r="B79" s="2" t="s">
        <v>236</v>
      </c>
      <c r="C79" s="2" t="s">
        <v>165</v>
      </c>
      <c r="D79" s="184" t="s">
        <v>166</v>
      </c>
      <c r="E79" s="185"/>
      <c r="F79" s="2" t="s">
        <v>160</v>
      </c>
      <c r="G79" s="9">
        <v>3.79</v>
      </c>
      <c r="H79" s="9"/>
      <c r="I79" s="9">
        <f t="shared" si="120"/>
        <v>0</v>
      </c>
      <c r="J79" s="9">
        <f t="shared" si="121"/>
        <v>0</v>
      </c>
      <c r="K79" s="9">
        <f t="shared" si="122"/>
        <v>0</v>
      </c>
      <c r="L79" s="9">
        <v>0</v>
      </c>
      <c r="M79" s="9">
        <f t="shared" si="123"/>
        <v>0</v>
      </c>
      <c r="N79" s="68" t="s">
        <v>319</v>
      </c>
      <c r="Z79" s="9">
        <f t="shared" si="124"/>
        <v>0</v>
      </c>
      <c r="AB79" s="9">
        <f t="shared" si="125"/>
        <v>0</v>
      </c>
      <c r="AC79" s="9">
        <f t="shared" si="126"/>
        <v>0</v>
      </c>
      <c r="AD79" s="9">
        <f t="shared" si="127"/>
        <v>0</v>
      </c>
      <c r="AE79" s="9">
        <f t="shared" si="128"/>
        <v>0</v>
      </c>
      <c r="AF79" s="9">
        <f t="shared" si="129"/>
        <v>0</v>
      </c>
      <c r="AG79" s="9">
        <f t="shared" si="130"/>
        <v>0</v>
      </c>
      <c r="AH79" s="9">
        <f t="shared" si="131"/>
        <v>0</v>
      </c>
      <c r="AI79" s="12" t="s">
        <v>236</v>
      </c>
      <c r="AJ79" s="9">
        <f t="shared" si="132"/>
        <v>0</v>
      </c>
      <c r="AK79" s="9">
        <f t="shared" si="133"/>
        <v>0</v>
      </c>
      <c r="AL79" s="9">
        <f t="shared" si="134"/>
        <v>0</v>
      </c>
      <c r="AN79" s="9">
        <v>21</v>
      </c>
      <c r="AO79" s="9">
        <f t="shared" si="135"/>
        <v>0</v>
      </c>
      <c r="AP79" s="9">
        <f t="shared" si="136"/>
        <v>0</v>
      </c>
      <c r="AQ79" s="69" t="s">
        <v>328</v>
      </c>
      <c r="AV79" s="9">
        <f t="shared" si="137"/>
        <v>0</v>
      </c>
      <c r="AW79" s="9">
        <f t="shared" si="138"/>
        <v>0</v>
      </c>
      <c r="AX79" s="9">
        <f t="shared" si="139"/>
        <v>0</v>
      </c>
      <c r="AY79" s="69" t="s">
        <v>355</v>
      </c>
      <c r="AZ79" s="69" t="s">
        <v>346</v>
      </c>
      <c r="BA79" s="12" t="s">
        <v>322</v>
      </c>
      <c r="BC79" s="9">
        <f t="shared" si="140"/>
        <v>0</v>
      </c>
      <c r="BD79" s="9">
        <f t="shared" si="141"/>
        <v>0</v>
      </c>
      <c r="BE79" s="9">
        <v>0</v>
      </c>
      <c r="BF79" s="9">
        <f t="shared" si="142"/>
        <v>0</v>
      </c>
      <c r="BH79" s="9">
        <f t="shared" si="143"/>
        <v>0</v>
      </c>
      <c r="BI79" s="9">
        <f t="shared" si="144"/>
        <v>0</v>
      </c>
      <c r="BJ79" s="9">
        <f t="shared" si="145"/>
        <v>0</v>
      </c>
      <c r="BK79" s="69" t="s">
        <v>26</v>
      </c>
      <c r="BL79" s="9"/>
    </row>
    <row r="80" spans="1:76" ht="14.6" x14ac:dyDescent="0.4">
      <c r="A80" s="1">
        <v>52</v>
      </c>
      <c r="B80" s="2" t="s">
        <v>236</v>
      </c>
      <c r="C80" s="2" t="s">
        <v>167</v>
      </c>
      <c r="D80" s="184" t="s">
        <v>168</v>
      </c>
      <c r="E80" s="185"/>
      <c r="F80" s="2" t="s">
        <v>160</v>
      </c>
      <c r="G80" s="9">
        <v>3.79</v>
      </c>
      <c r="H80" s="9"/>
      <c r="I80" s="9">
        <f t="shared" si="120"/>
        <v>0</v>
      </c>
      <c r="J80" s="9">
        <f t="shared" si="121"/>
        <v>0</v>
      </c>
      <c r="K80" s="9">
        <f t="shared" si="122"/>
        <v>0</v>
      </c>
      <c r="L80" s="9">
        <v>0</v>
      </c>
      <c r="M80" s="9">
        <f t="shared" si="123"/>
        <v>0</v>
      </c>
      <c r="N80" s="68" t="s">
        <v>319</v>
      </c>
      <c r="Z80" s="9">
        <f t="shared" si="124"/>
        <v>0</v>
      </c>
      <c r="AB80" s="9">
        <f t="shared" si="125"/>
        <v>0</v>
      </c>
      <c r="AC80" s="9">
        <f t="shared" si="126"/>
        <v>0</v>
      </c>
      <c r="AD80" s="9">
        <f t="shared" si="127"/>
        <v>0</v>
      </c>
      <c r="AE80" s="9">
        <f t="shared" si="128"/>
        <v>0</v>
      </c>
      <c r="AF80" s="9">
        <f t="shared" si="129"/>
        <v>0</v>
      </c>
      <c r="AG80" s="9">
        <f t="shared" si="130"/>
        <v>0</v>
      </c>
      <c r="AH80" s="9">
        <f t="shared" si="131"/>
        <v>0</v>
      </c>
      <c r="AI80" s="12" t="s">
        <v>236</v>
      </c>
      <c r="AJ80" s="9">
        <f t="shared" si="132"/>
        <v>0</v>
      </c>
      <c r="AK80" s="9">
        <f t="shared" si="133"/>
        <v>0</v>
      </c>
      <c r="AL80" s="9">
        <f t="shared" si="134"/>
        <v>0</v>
      </c>
      <c r="AN80" s="9">
        <v>21</v>
      </c>
      <c r="AO80" s="9">
        <f t="shared" si="135"/>
        <v>0</v>
      </c>
      <c r="AP80" s="9">
        <f t="shared" si="136"/>
        <v>0</v>
      </c>
      <c r="AQ80" s="69" t="s">
        <v>328</v>
      </c>
      <c r="AV80" s="9">
        <f t="shared" si="137"/>
        <v>0</v>
      </c>
      <c r="AW80" s="9">
        <f t="shared" si="138"/>
        <v>0</v>
      </c>
      <c r="AX80" s="9">
        <f t="shared" si="139"/>
        <v>0</v>
      </c>
      <c r="AY80" s="69" t="s">
        <v>355</v>
      </c>
      <c r="AZ80" s="69" t="s">
        <v>346</v>
      </c>
      <c r="BA80" s="12" t="s">
        <v>322</v>
      </c>
      <c r="BC80" s="9">
        <f t="shared" si="140"/>
        <v>0</v>
      </c>
      <c r="BD80" s="9">
        <f t="shared" si="141"/>
        <v>0</v>
      </c>
      <c r="BE80" s="9">
        <v>0</v>
      </c>
      <c r="BF80" s="9">
        <f t="shared" si="142"/>
        <v>0</v>
      </c>
      <c r="BH80" s="9">
        <f t="shared" si="143"/>
        <v>0</v>
      </c>
      <c r="BI80" s="9">
        <f t="shared" si="144"/>
        <v>0</v>
      </c>
      <c r="BJ80" s="9">
        <f t="shared" si="145"/>
        <v>0</v>
      </c>
      <c r="BK80" s="69" t="s">
        <v>26</v>
      </c>
      <c r="BL80" s="9"/>
      <c r="BW80" s="9">
        <v>21</v>
      </c>
      <c r="BX80" s="3" t="s">
        <v>159</v>
      </c>
    </row>
    <row r="81" spans="1:76" ht="14.6" x14ac:dyDescent="0.4">
      <c r="A81" s="1">
        <v>53</v>
      </c>
      <c r="B81" s="2" t="s">
        <v>236</v>
      </c>
      <c r="C81" s="2" t="s">
        <v>169</v>
      </c>
      <c r="D81" s="184" t="s">
        <v>170</v>
      </c>
      <c r="E81" s="185"/>
      <c r="F81" s="2" t="s">
        <v>160</v>
      </c>
      <c r="G81" s="9">
        <v>3.18</v>
      </c>
      <c r="H81" s="9"/>
      <c r="I81" s="9">
        <f t="shared" si="120"/>
        <v>0</v>
      </c>
      <c r="J81" s="9">
        <f t="shared" si="121"/>
        <v>0</v>
      </c>
      <c r="K81" s="9">
        <f t="shared" si="122"/>
        <v>0</v>
      </c>
      <c r="L81" s="9">
        <v>0</v>
      </c>
      <c r="M81" s="9">
        <f t="shared" si="123"/>
        <v>0</v>
      </c>
      <c r="N81" s="68" t="s">
        <v>319</v>
      </c>
      <c r="Z81" s="9">
        <f t="shared" si="124"/>
        <v>0</v>
      </c>
      <c r="AB81" s="9">
        <f t="shared" si="125"/>
        <v>0</v>
      </c>
      <c r="AC81" s="9">
        <f t="shared" si="126"/>
        <v>0</v>
      </c>
      <c r="AD81" s="9">
        <f t="shared" si="127"/>
        <v>0</v>
      </c>
      <c r="AE81" s="9">
        <f t="shared" si="128"/>
        <v>0</v>
      </c>
      <c r="AF81" s="9">
        <f t="shared" si="129"/>
        <v>0</v>
      </c>
      <c r="AG81" s="9">
        <f t="shared" si="130"/>
        <v>0</v>
      </c>
      <c r="AH81" s="9">
        <f t="shared" si="131"/>
        <v>0</v>
      </c>
      <c r="AI81" s="12" t="s">
        <v>236</v>
      </c>
      <c r="AJ81" s="9">
        <f t="shared" si="132"/>
        <v>0</v>
      </c>
      <c r="AK81" s="9">
        <f t="shared" si="133"/>
        <v>0</v>
      </c>
      <c r="AL81" s="9">
        <f t="shared" si="134"/>
        <v>0</v>
      </c>
      <c r="AN81" s="9">
        <v>21</v>
      </c>
      <c r="AO81" s="9">
        <f t="shared" si="135"/>
        <v>0</v>
      </c>
      <c r="AP81" s="9">
        <f t="shared" si="136"/>
        <v>0</v>
      </c>
      <c r="AQ81" s="69" t="s">
        <v>328</v>
      </c>
      <c r="AV81" s="9">
        <f t="shared" si="137"/>
        <v>0</v>
      </c>
      <c r="AW81" s="9">
        <f t="shared" si="138"/>
        <v>0</v>
      </c>
      <c r="AX81" s="9">
        <f t="shared" si="139"/>
        <v>0</v>
      </c>
      <c r="AY81" s="69" t="s">
        <v>355</v>
      </c>
      <c r="AZ81" s="69" t="s">
        <v>346</v>
      </c>
      <c r="BA81" s="12" t="s">
        <v>322</v>
      </c>
      <c r="BC81" s="9">
        <f t="shared" si="140"/>
        <v>0</v>
      </c>
      <c r="BD81" s="9">
        <f t="shared" si="141"/>
        <v>0</v>
      </c>
      <c r="BE81" s="9">
        <v>0</v>
      </c>
      <c r="BF81" s="9">
        <f t="shared" si="142"/>
        <v>0</v>
      </c>
      <c r="BH81" s="9">
        <f t="shared" si="143"/>
        <v>0</v>
      </c>
      <c r="BI81" s="9">
        <f t="shared" si="144"/>
        <v>0</v>
      </c>
      <c r="BJ81" s="9">
        <f t="shared" si="145"/>
        <v>0</v>
      </c>
      <c r="BK81" s="69" t="s">
        <v>26</v>
      </c>
      <c r="BL81" s="9"/>
      <c r="BW81" s="9">
        <v>21</v>
      </c>
      <c r="BX81" s="3" t="s">
        <v>162</v>
      </c>
    </row>
    <row r="82" spans="1:76" ht="14.6" x14ac:dyDescent="0.4">
      <c r="A82" s="1">
        <v>54</v>
      </c>
      <c r="B82" s="2" t="s">
        <v>236</v>
      </c>
      <c r="C82" s="2" t="s">
        <v>171</v>
      </c>
      <c r="D82" s="184" t="s">
        <v>172</v>
      </c>
      <c r="E82" s="185"/>
      <c r="F82" s="2" t="s">
        <v>160</v>
      </c>
      <c r="G82" s="9">
        <v>0.09</v>
      </c>
      <c r="H82" s="9"/>
      <c r="I82" s="9">
        <f t="shared" si="120"/>
        <v>0</v>
      </c>
      <c r="J82" s="9">
        <f t="shared" si="121"/>
        <v>0</v>
      </c>
      <c r="K82" s="9">
        <f t="shared" si="122"/>
        <v>0</v>
      </c>
      <c r="L82" s="9">
        <v>0</v>
      </c>
      <c r="M82" s="9">
        <f t="shared" si="123"/>
        <v>0</v>
      </c>
      <c r="N82" s="68" t="s">
        <v>319</v>
      </c>
      <c r="Z82" s="9">
        <f t="shared" si="124"/>
        <v>0</v>
      </c>
      <c r="AB82" s="9">
        <f t="shared" si="125"/>
        <v>0</v>
      </c>
      <c r="AC82" s="9">
        <f t="shared" si="126"/>
        <v>0</v>
      </c>
      <c r="AD82" s="9">
        <f t="shared" si="127"/>
        <v>0</v>
      </c>
      <c r="AE82" s="9">
        <f t="shared" si="128"/>
        <v>0</v>
      </c>
      <c r="AF82" s="9">
        <f t="shared" si="129"/>
        <v>0</v>
      </c>
      <c r="AG82" s="9">
        <f t="shared" si="130"/>
        <v>0</v>
      </c>
      <c r="AH82" s="9">
        <f t="shared" si="131"/>
        <v>0</v>
      </c>
      <c r="AI82" s="12" t="s">
        <v>236</v>
      </c>
      <c r="AJ82" s="9">
        <f t="shared" si="132"/>
        <v>0</v>
      </c>
      <c r="AK82" s="9">
        <f t="shared" si="133"/>
        <v>0</v>
      </c>
      <c r="AL82" s="9">
        <f t="shared" si="134"/>
        <v>0</v>
      </c>
      <c r="AN82" s="9">
        <v>21</v>
      </c>
      <c r="AO82" s="9">
        <f t="shared" si="135"/>
        <v>0</v>
      </c>
      <c r="AP82" s="9">
        <f t="shared" si="136"/>
        <v>0</v>
      </c>
      <c r="AQ82" s="69" t="s">
        <v>328</v>
      </c>
      <c r="AV82" s="9">
        <f t="shared" si="137"/>
        <v>0</v>
      </c>
      <c r="AW82" s="9">
        <f t="shared" si="138"/>
        <v>0</v>
      </c>
      <c r="AX82" s="9">
        <f t="shared" si="139"/>
        <v>0</v>
      </c>
      <c r="AY82" s="69" t="s">
        <v>355</v>
      </c>
      <c r="AZ82" s="69" t="s">
        <v>346</v>
      </c>
      <c r="BA82" s="12" t="s">
        <v>322</v>
      </c>
      <c r="BC82" s="9">
        <f t="shared" si="140"/>
        <v>0</v>
      </c>
      <c r="BD82" s="9">
        <f t="shared" si="141"/>
        <v>0</v>
      </c>
      <c r="BE82" s="9">
        <v>0</v>
      </c>
      <c r="BF82" s="9">
        <f t="shared" si="142"/>
        <v>0</v>
      </c>
      <c r="BH82" s="9">
        <f t="shared" si="143"/>
        <v>0</v>
      </c>
      <c r="BI82" s="9">
        <f t="shared" si="144"/>
        <v>0</v>
      </c>
      <c r="BJ82" s="9">
        <f t="shared" si="145"/>
        <v>0</v>
      </c>
      <c r="BK82" s="69" t="s">
        <v>26</v>
      </c>
      <c r="BL82" s="9"/>
      <c r="BW82" s="9">
        <v>21</v>
      </c>
      <c r="BX82" s="3" t="s">
        <v>164</v>
      </c>
    </row>
    <row r="83" spans="1:76" ht="14.6" x14ac:dyDescent="0.4">
      <c r="A83" s="1">
        <v>55</v>
      </c>
      <c r="B83" s="2" t="s">
        <v>236</v>
      </c>
      <c r="C83" s="2" t="s">
        <v>173</v>
      </c>
      <c r="D83" s="184" t="s">
        <v>174</v>
      </c>
      <c r="E83" s="185"/>
      <c r="F83" s="2" t="s">
        <v>160</v>
      </c>
      <c r="G83" s="9">
        <v>0.57999999999999996</v>
      </c>
      <c r="H83" s="9"/>
      <c r="I83" s="9">
        <f t="shared" si="120"/>
        <v>0</v>
      </c>
      <c r="J83" s="9">
        <f t="shared" si="121"/>
        <v>0</v>
      </c>
      <c r="K83" s="9">
        <f t="shared" si="122"/>
        <v>0</v>
      </c>
      <c r="L83" s="9">
        <v>0</v>
      </c>
      <c r="M83" s="9">
        <f t="shared" si="123"/>
        <v>0</v>
      </c>
      <c r="N83" s="68" t="s">
        <v>319</v>
      </c>
      <c r="Z83" s="9">
        <f t="shared" si="124"/>
        <v>0</v>
      </c>
      <c r="AB83" s="9">
        <f t="shared" si="125"/>
        <v>0</v>
      </c>
      <c r="AC83" s="9">
        <f t="shared" si="126"/>
        <v>0</v>
      </c>
      <c r="AD83" s="9">
        <f t="shared" si="127"/>
        <v>0</v>
      </c>
      <c r="AE83" s="9">
        <f t="shared" si="128"/>
        <v>0</v>
      </c>
      <c r="AF83" s="9">
        <f t="shared" si="129"/>
        <v>0</v>
      </c>
      <c r="AG83" s="9">
        <f t="shared" si="130"/>
        <v>0</v>
      </c>
      <c r="AH83" s="9">
        <f t="shared" si="131"/>
        <v>0</v>
      </c>
      <c r="AI83" s="12" t="s">
        <v>236</v>
      </c>
      <c r="AJ83" s="9">
        <f t="shared" si="132"/>
        <v>0</v>
      </c>
      <c r="AK83" s="9">
        <f t="shared" si="133"/>
        <v>0</v>
      </c>
      <c r="AL83" s="9">
        <f t="shared" si="134"/>
        <v>0</v>
      </c>
      <c r="AN83" s="9">
        <v>21</v>
      </c>
      <c r="AO83" s="9">
        <f t="shared" si="135"/>
        <v>0</v>
      </c>
      <c r="AP83" s="9">
        <f t="shared" si="136"/>
        <v>0</v>
      </c>
      <c r="AQ83" s="69" t="s">
        <v>328</v>
      </c>
      <c r="AV83" s="9">
        <f t="shared" si="137"/>
        <v>0</v>
      </c>
      <c r="AW83" s="9">
        <f t="shared" si="138"/>
        <v>0</v>
      </c>
      <c r="AX83" s="9">
        <f t="shared" si="139"/>
        <v>0</v>
      </c>
      <c r="AY83" s="69" t="s">
        <v>355</v>
      </c>
      <c r="AZ83" s="69" t="s">
        <v>346</v>
      </c>
      <c r="BA83" s="12" t="s">
        <v>322</v>
      </c>
      <c r="BC83" s="9">
        <f t="shared" si="140"/>
        <v>0</v>
      </c>
      <c r="BD83" s="9">
        <f t="shared" si="141"/>
        <v>0</v>
      </c>
      <c r="BE83" s="9">
        <v>0</v>
      </c>
      <c r="BF83" s="9">
        <f t="shared" si="142"/>
        <v>0</v>
      </c>
      <c r="BH83" s="9">
        <f t="shared" si="143"/>
        <v>0</v>
      </c>
      <c r="BI83" s="9">
        <f t="shared" si="144"/>
        <v>0</v>
      </c>
      <c r="BJ83" s="9">
        <f t="shared" si="145"/>
        <v>0</v>
      </c>
      <c r="BK83" s="69" t="s">
        <v>26</v>
      </c>
      <c r="BL83" s="9"/>
      <c r="BW83" s="9">
        <v>21</v>
      </c>
      <c r="BX83" s="3" t="s">
        <v>166</v>
      </c>
    </row>
    <row r="84" spans="1:76" ht="14.6" x14ac:dyDescent="0.4">
      <c r="A84" s="70" t="s">
        <v>236</v>
      </c>
      <c r="B84" s="11" t="s">
        <v>236</v>
      </c>
      <c r="C84" s="11" t="s">
        <v>175</v>
      </c>
      <c r="D84" s="240" t="s">
        <v>176</v>
      </c>
      <c r="E84" s="241"/>
      <c r="F84" s="71" t="s">
        <v>20</v>
      </c>
      <c r="G84" s="71" t="s">
        <v>20</v>
      </c>
      <c r="H84" s="71" t="s">
        <v>20</v>
      </c>
      <c r="I84" s="13">
        <f>ROUND(SUM(I85:I90),0)</f>
        <v>0</v>
      </c>
      <c r="J84" s="13">
        <f>ROUND(SUM(J85:J90),0)</f>
        <v>0</v>
      </c>
      <c r="K84" s="13">
        <f>ROUND(SUM(K85:K90),0)</f>
        <v>0</v>
      </c>
      <c r="L84" s="12" t="s">
        <v>236</v>
      </c>
      <c r="M84" s="13">
        <f>SUM(M85:M90)</f>
        <v>2.9843799999999998</v>
      </c>
      <c r="N84" s="72" t="s">
        <v>236</v>
      </c>
      <c r="AI84" s="12" t="s">
        <v>236</v>
      </c>
      <c r="AS84" s="13">
        <f>SUM(AJ85:AJ90)</f>
        <v>0</v>
      </c>
      <c r="AT84" s="13">
        <f>SUM(AK85:AK90)</f>
        <v>0</v>
      </c>
      <c r="AU84" s="13">
        <f>SUM(AL85:AL90)</f>
        <v>0</v>
      </c>
      <c r="BW84" s="9">
        <v>21</v>
      </c>
      <c r="BX84" s="3" t="s">
        <v>168</v>
      </c>
    </row>
    <row r="85" spans="1:76" ht="14.6" x14ac:dyDescent="0.4">
      <c r="A85" s="1">
        <v>56</v>
      </c>
      <c r="B85" s="2" t="s">
        <v>236</v>
      </c>
      <c r="C85" s="2" t="s">
        <v>177</v>
      </c>
      <c r="D85" s="184" t="s">
        <v>178</v>
      </c>
      <c r="E85" s="185"/>
      <c r="F85" s="2" t="s">
        <v>68</v>
      </c>
      <c r="G85" s="9">
        <v>16</v>
      </c>
      <c r="H85" s="9"/>
      <c r="I85" s="9">
        <f t="shared" ref="I85:I90" si="146">ROUND(G85*AO85,2)</f>
        <v>0</v>
      </c>
      <c r="J85" s="9">
        <f t="shared" ref="J85:J90" si="147">ROUND(G85*AP85,2)</f>
        <v>0</v>
      </c>
      <c r="K85" s="9">
        <f t="shared" ref="K85:K90" si="148">ROUND(G85*H85,0)</f>
        <v>0</v>
      </c>
      <c r="L85" s="9">
        <v>9.4900000000000002E-3</v>
      </c>
      <c r="M85" s="9">
        <f t="shared" ref="M85:M90" si="149">G85*L85</f>
        <v>0.15184</v>
      </c>
      <c r="N85" s="68" t="s">
        <v>319</v>
      </c>
      <c r="Z85" s="9">
        <f t="shared" ref="Z85:Z90" si="150">ROUND(IF(AQ85="5",BJ85,0),2)</f>
        <v>0</v>
      </c>
      <c r="AB85" s="9">
        <f t="shared" ref="AB85:AB90" si="151">ROUND(IF(AQ85="1",BH85,0),2)</f>
        <v>0</v>
      </c>
      <c r="AC85" s="9">
        <f t="shared" ref="AC85:AC90" si="152">ROUND(IF(AQ85="1",BI85,0),2)</f>
        <v>0</v>
      </c>
      <c r="AD85" s="9">
        <f t="shared" ref="AD85:AD90" si="153">ROUND(IF(AQ85="7",BH85,0),2)</f>
        <v>0</v>
      </c>
      <c r="AE85" s="9">
        <f t="shared" ref="AE85:AE90" si="154">ROUND(IF(AQ85="7",BI85,0),2)</f>
        <v>0</v>
      </c>
      <c r="AF85" s="9">
        <f t="shared" ref="AF85:AF90" si="155">ROUND(IF(AQ85="2",BH85,0),2)</f>
        <v>0</v>
      </c>
      <c r="AG85" s="9">
        <f t="shared" ref="AG85:AG90" si="156">ROUND(IF(AQ85="2",BI85,0),2)</f>
        <v>0</v>
      </c>
      <c r="AH85" s="9">
        <f t="shared" ref="AH85:AH90" si="157">ROUND(IF(AQ85="0",BJ85,0),2)</f>
        <v>0</v>
      </c>
      <c r="AI85" s="12" t="s">
        <v>236</v>
      </c>
      <c r="AJ85" s="9">
        <f t="shared" ref="AJ85:AJ90" si="158">IF(AN85=0,K85,0)</f>
        <v>0</v>
      </c>
      <c r="AK85" s="9">
        <f t="shared" ref="AK85:AK90" si="159">IF(AN85=12,K85,0)</f>
        <v>0</v>
      </c>
      <c r="AL85" s="9">
        <f t="shared" ref="AL85:AL90" si="160">IF(AN85=21,K85,0)</f>
        <v>0</v>
      </c>
      <c r="AN85" s="9">
        <v>21</v>
      </c>
      <c r="AO85" s="9">
        <f>H85*0.098965517</f>
        <v>0</v>
      </c>
      <c r="AP85" s="9">
        <f>H85*(1-0.098965517)</f>
        <v>0</v>
      </c>
      <c r="AQ85" s="69" t="s">
        <v>330</v>
      </c>
      <c r="AV85" s="9">
        <f t="shared" ref="AV85:AV90" si="161">ROUND(AW85+AX85,2)</f>
        <v>0</v>
      </c>
      <c r="AW85" s="9">
        <f t="shared" ref="AW85:AW90" si="162">ROUND(G85*AO85,2)</f>
        <v>0</v>
      </c>
      <c r="AX85" s="9">
        <f t="shared" ref="AX85:AX90" si="163">ROUND(G85*AP85,2)</f>
        <v>0</v>
      </c>
      <c r="AY85" s="69" t="s">
        <v>356</v>
      </c>
      <c r="AZ85" s="69" t="s">
        <v>357</v>
      </c>
      <c r="BA85" s="12" t="s">
        <v>322</v>
      </c>
      <c r="BC85" s="9">
        <f t="shared" ref="BC85:BC90" si="164">AW85+AX85</f>
        <v>0</v>
      </c>
      <c r="BD85" s="9">
        <f t="shared" ref="BD85:BD90" si="165">H85/(100-BE85)*100</f>
        <v>0</v>
      </c>
      <c r="BE85" s="9">
        <v>0</v>
      </c>
      <c r="BF85" s="9">
        <f t="shared" ref="BF85:BF90" si="166">M85</f>
        <v>0.15184</v>
      </c>
      <c r="BH85" s="9">
        <f t="shared" ref="BH85:BH90" si="167">G85*AO85</f>
        <v>0</v>
      </c>
      <c r="BI85" s="9">
        <f t="shared" ref="BI85:BI90" si="168">G85*AP85</f>
        <v>0</v>
      </c>
      <c r="BJ85" s="9">
        <f t="shared" ref="BJ85:BJ90" si="169">G85*H85</f>
        <v>0</v>
      </c>
      <c r="BK85" s="69" t="s">
        <v>26</v>
      </c>
      <c r="BL85" s="9">
        <v>720</v>
      </c>
      <c r="BW85" s="9">
        <v>21</v>
      </c>
      <c r="BX85" s="3" t="s">
        <v>170</v>
      </c>
    </row>
    <row r="86" spans="1:76" ht="14.6" x14ac:dyDescent="0.4">
      <c r="A86" s="1">
        <v>57</v>
      </c>
      <c r="B86" s="2" t="s">
        <v>236</v>
      </c>
      <c r="C86" s="2" t="s">
        <v>179</v>
      </c>
      <c r="D86" s="184" t="s">
        <v>180</v>
      </c>
      <c r="E86" s="185"/>
      <c r="F86" s="2" t="s">
        <v>68</v>
      </c>
      <c r="G86" s="9">
        <v>10</v>
      </c>
      <c r="H86" s="9"/>
      <c r="I86" s="9">
        <f t="shared" si="146"/>
        <v>0</v>
      </c>
      <c r="J86" s="9">
        <f t="shared" si="147"/>
        <v>0</v>
      </c>
      <c r="K86" s="9">
        <f t="shared" si="148"/>
        <v>0</v>
      </c>
      <c r="L86" s="9">
        <v>1.8489999999999999E-2</v>
      </c>
      <c r="M86" s="9">
        <f t="shared" si="149"/>
        <v>0.18490000000000001</v>
      </c>
      <c r="N86" s="68" t="s">
        <v>319</v>
      </c>
      <c r="Z86" s="9">
        <f t="shared" si="150"/>
        <v>0</v>
      </c>
      <c r="AB86" s="9">
        <f t="shared" si="151"/>
        <v>0</v>
      </c>
      <c r="AC86" s="9">
        <f t="shared" si="152"/>
        <v>0</v>
      </c>
      <c r="AD86" s="9">
        <f t="shared" si="153"/>
        <v>0</v>
      </c>
      <c r="AE86" s="9">
        <f t="shared" si="154"/>
        <v>0</v>
      </c>
      <c r="AF86" s="9">
        <f t="shared" si="155"/>
        <v>0</v>
      </c>
      <c r="AG86" s="9">
        <f t="shared" si="156"/>
        <v>0</v>
      </c>
      <c r="AH86" s="9">
        <f t="shared" si="157"/>
        <v>0</v>
      </c>
      <c r="AI86" s="12" t="s">
        <v>236</v>
      </c>
      <c r="AJ86" s="9">
        <f t="shared" si="158"/>
        <v>0</v>
      </c>
      <c r="AK86" s="9">
        <f t="shared" si="159"/>
        <v>0</v>
      </c>
      <c r="AL86" s="9">
        <f t="shared" si="160"/>
        <v>0</v>
      </c>
      <c r="AN86" s="9">
        <v>21</v>
      </c>
      <c r="AO86" s="9">
        <f>H86*0.074352332</f>
        <v>0</v>
      </c>
      <c r="AP86" s="9">
        <f>H86*(1-0.074352332)</f>
        <v>0</v>
      </c>
      <c r="AQ86" s="69" t="s">
        <v>330</v>
      </c>
      <c r="AV86" s="9">
        <f t="shared" si="161"/>
        <v>0</v>
      </c>
      <c r="AW86" s="9">
        <f t="shared" si="162"/>
        <v>0</v>
      </c>
      <c r="AX86" s="9">
        <f t="shared" si="163"/>
        <v>0</v>
      </c>
      <c r="AY86" s="69" t="s">
        <v>356</v>
      </c>
      <c r="AZ86" s="69" t="s">
        <v>357</v>
      </c>
      <c r="BA86" s="12" t="s">
        <v>322</v>
      </c>
      <c r="BC86" s="9">
        <f t="shared" si="164"/>
        <v>0</v>
      </c>
      <c r="BD86" s="9">
        <f t="shared" si="165"/>
        <v>0</v>
      </c>
      <c r="BE86" s="9">
        <v>0</v>
      </c>
      <c r="BF86" s="9">
        <f t="shared" si="166"/>
        <v>0.18490000000000001</v>
      </c>
      <c r="BH86" s="9">
        <f t="shared" si="167"/>
        <v>0</v>
      </c>
      <c r="BI86" s="9">
        <f t="shared" si="168"/>
        <v>0</v>
      </c>
      <c r="BJ86" s="9">
        <f t="shared" si="169"/>
        <v>0</v>
      </c>
      <c r="BK86" s="69" t="s">
        <v>26</v>
      </c>
      <c r="BL86" s="9">
        <v>720</v>
      </c>
      <c r="BW86" s="9">
        <v>21</v>
      </c>
      <c r="BX86" s="3" t="s">
        <v>172</v>
      </c>
    </row>
    <row r="87" spans="1:76" ht="14.6" x14ac:dyDescent="0.4">
      <c r="A87" s="1">
        <v>58</v>
      </c>
      <c r="B87" s="2" t="s">
        <v>236</v>
      </c>
      <c r="C87" s="2" t="s">
        <v>181</v>
      </c>
      <c r="D87" s="184" t="s">
        <v>182</v>
      </c>
      <c r="E87" s="185"/>
      <c r="F87" s="2" t="s">
        <v>68</v>
      </c>
      <c r="G87" s="9">
        <v>20</v>
      </c>
      <c r="H87" s="9"/>
      <c r="I87" s="9">
        <f t="shared" si="146"/>
        <v>0</v>
      </c>
      <c r="J87" s="9">
        <f t="shared" si="147"/>
        <v>0</v>
      </c>
      <c r="K87" s="9">
        <f t="shared" si="148"/>
        <v>0</v>
      </c>
      <c r="L87" s="9">
        <v>1.0999999999999999E-2</v>
      </c>
      <c r="M87" s="9">
        <f t="shared" si="149"/>
        <v>0.21999999999999997</v>
      </c>
      <c r="N87" s="68" t="s">
        <v>319</v>
      </c>
      <c r="Z87" s="9">
        <f t="shared" si="150"/>
        <v>0</v>
      </c>
      <c r="AB87" s="9">
        <f t="shared" si="151"/>
        <v>0</v>
      </c>
      <c r="AC87" s="9">
        <f t="shared" si="152"/>
        <v>0</v>
      </c>
      <c r="AD87" s="9">
        <f t="shared" si="153"/>
        <v>0</v>
      </c>
      <c r="AE87" s="9">
        <f t="shared" si="154"/>
        <v>0</v>
      </c>
      <c r="AF87" s="9">
        <f t="shared" si="155"/>
        <v>0</v>
      </c>
      <c r="AG87" s="9">
        <f t="shared" si="156"/>
        <v>0</v>
      </c>
      <c r="AH87" s="9">
        <f t="shared" si="157"/>
        <v>0</v>
      </c>
      <c r="AI87" s="12" t="s">
        <v>236</v>
      </c>
      <c r="AJ87" s="9">
        <f t="shared" si="158"/>
        <v>0</v>
      </c>
      <c r="AK87" s="9">
        <f t="shared" si="159"/>
        <v>0</v>
      </c>
      <c r="AL87" s="9">
        <f t="shared" si="160"/>
        <v>0</v>
      </c>
      <c r="AN87" s="9">
        <v>21</v>
      </c>
      <c r="AO87" s="9">
        <f>H87*0</f>
        <v>0</v>
      </c>
      <c r="AP87" s="9">
        <f>H87*(1-0)</f>
        <v>0</v>
      </c>
      <c r="AQ87" s="69" t="s">
        <v>330</v>
      </c>
      <c r="AV87" s="9">
        <f t="shared" si="161"/>
        <v>0</v>
      </c>
      <c r="AW87" s="9">
        <f t="shared" si="162"/>
        <v>0</v>
      </c>
      <c r="AX87" s="9">
        <f t="shared" si="163"/>
        <v>0</v>
      </c>
      <c r="AY87" s="69" t="s">
        <v>356</v>
      </c>
      <c r="AZ87" s="69" t="s">
        <v>357</v>
      </c>
      <c r="BA87" s="12" t="s">
        <v>322</v>
      </c>
      <c r="BC87" s="9">
        <f t="shared" si="164"/>
        <v>0</v>
      </c>
      <c r="BD87" s="9">
        <f t="shared" si="165"/>
        <v>0</v>
      </c>
      <c r="BE87" s="9">
        <v>0</v>
      </c>
      <c r="BF87" s="9">
        <f t="shared" si="166"/>
        <v>0.21999999999999997</v>
      </c>
      <c r="BH87" s="9">
        <f t="shared" si="167"/>
        <v>0</v>
      </c>
      <c r="BI87" s="9">
        <f t="shared" si="168"/>
        <v>0</v>
      </c>
      <c r="BJ87" s="9">
        <f t="shared" si="169"/>
        <v>0</v>
      </c>
      <c r="BK87" s="69" t="s">
        <v>26</v>
      </c>
      <c r="BL87" s="9">
        <v>720</v>
      </c>
      <c r="BW87" s="9">
        <v>21</v>
      </c>
      <c r="BX87" s="3" t="s">
        <v>174</v>
      </c>
    </row>
    <row r="88" spans="1:76" ht="14.6" x14ac:dyDescent="0.4">
      <c r="A88" s="1">
        <v>59</v>
      </c>
      <c r="B88" s="2" t="s">
        <v>236</v>
      </c>
      <c r="C88" s="2" t="s">
        <v>183</v>
      </c>
      <c r="D88" s="184" t="s">
        <v>184</v>
      </c>
      <c r="E88" s="185"/>
      <c r="F88" s="2" t="s">
        <v>51</v>
      </c>
      <c r="G88" s="9">
        <v>10</v>
      </c>
      <c r="H88" s="9"/>
      <c r="I88" s="9">
        <f t="shared" si="146"/>
        <v>0</v>
      </c>
      <c r="J88" s="9">
        <f t="shared" si="147"/>
        <v>0</v>
      </c>
      <c r="K88" s="9">
        <f t="shared" si="148"/>
        <v>0</v>
      </c>
      <c r="L88" s="9">
        <v>1.278E-2</v>
      </c>
      <c r="M88" s="9">
        <f t="shared" si="149"/>
        <v>0.1278</v>
      </c>
      <c r="N88" s="68" t="s">
        <v>319</v>
      </c>
      <c r="Z88" s="9">
        <f t="shared" si="150"/>
        <v>0</v>
      </c>
      <c r="AB88" s="9">
        <f t="shared" si="151"/>
        <v>0</v>
      </c>
      <c r="AC88" s="9">
        <f t="shared" si="152"/>
        <v>0</v>
      </c>
      <c r="AD88" s="9">
        <f t="shared" si="153"/>
        <v>0</v>
      </c>
      <c r="AE88" s="9">
        <f t="shared" si="154"/>
        <v>0</v>
      </c>
      <c r="AF88" s="9">
        <f t="shared" si="155"/>
        <v>0</v>
      </c>
      <c r="AG88" s="9">
        <f t="shared" si="156"/>
        <v>0</v>
      </c>
      <c r="AH88" s="9">
        <f t="shared" si="157"/>
        <v>0</v>
      </c>
      <c r="AI88" s="12" t="s">
        <v>236</v>
      </c>
      <c r="AJ88" s="9">
        <f t="shared" si="158"/>
        <v>0</v>
      </c>
      <c r="AK88" s="9">
        <f t="shared" si="159"/>
        <v>0</v>
      </c>
      <c r="AL88" s="9">
        <f t="shared" si="160"/>
        <v>0</v>
      </c>
      <c r="AN88" s="9">
        <v>21</v>
      </c>
      <c r="AO88" s="9">
        <f>H88*0.15334471</f>
        <v>0</v>
      </c>
      <c r="AP88" s="9">
        <f>H88*(1-0.15334471)</f>
        <v>0</v>
      </c>
      <c r="AQ88" s="69" t="s">
        <v>330</v>
      </c>
      <c r="AV88" s="9">
        <f t="shared" si="161"/>
        <v>0</v>
      </c>
      <c r="AW88" s="9">
        <f t="shared" si="162"/>
        <v>0</v>
      </c>
      <c r="AX88" s="9">
        <f t="shared" si="163"/>
        <v>0</v>
      </c>
      <c r="AY88" s="69" t="s">
        <v>356</v>
      </c>
      <c r="AZ88" s="69" t="s">
        <v>357</v>
      </c>
      <c r="BA88" s="12" t="s">
        <v>322</v>
      </c>
      <c r="BC88" s="9">
        <f t="shared" si="164"/>
        <v>0</v>
      </c>
      <c r="BD88" s="9">
        <f t="shared" si="165"/>
        <v>0</v>
      </c>
      <c r="BE88" s="9">
        <v>0</v>
      </c>
      <c r="BF88" s="9">
        <f t="shared" si="166"/>
        <v>0.1278</v>
      </c>
      <c r="BH88" s="9">
        <f t="shared" si="167"/>
        <v>0</v>
      </c>
      <c r="BI88" s="9">
        <f t="shared" si="168"/>
        <v>0</v>
      </c>
      <c r="BJ88" s="9">
        <f t="shared" si="169"/>
        <v>0</v>
      </c>
      <c r="BK88" s="69" t="s">
        <v>26</v>
      </c>
      <c r="BL88" s="9">
        <v>720</v>
      </c>
    </row>
    <row r="89" spans="1:76" ht="14.6" x14ac:dyDescent="0.4">
      <c r="A89" s="1">
        <v>60</v>
      </c>
      <c r="B89" s="2" t="s">
        <v>236</v>
      </c>
      <c r="C89" s="2" t="s">
        <v>185</v>
      </c>
      <c r="D89" s="184" t="s">
        <v>186</v>
      </c>
      <c r="E89" s="185"/>
      <c r="F89" s="2" t="s">
        <v>68</v>
      </c>
      <c r="G89" s="9">
        <v>26</v>
      </c>
      <c r="H89" s="9"/>
      <c r="I89" s="9">
        <f t="shared" si="146"/>
        <v>0</v>
      </c>
      <c r="J89" s="9">
        <f t="shared" si="147"/>
        <v>0</v>
      </c>
      <c r="K89" s="9">
        <f t="shared" si="148"/>
        <v>0</v>
      </c>
      <c r="L89" s="9">
        <v>1.634E-2</v>
      </c>
      <c r="M89" s="9">
        <f t="shared" si="149"/>
        <v>0.42484</v>
      </c>
      <c r="N89" s="68" t="s">
        <v>319</v>
      </c>
      <c r="Z89" s="9">
        <f t="shared" si="150"/>
        <v>0</v>
      </c>
      <c r="AB89" s="9">
        <f t="shared" si="151"/>
        <v>0</v>
      </c>
      <c r="AC89" s="9">
        <f t="shared" si="152"/>
        <v>0</v>
      </c>
      <c r="AD89" s="9">
        <f t="shared" si="153"/>
        <v>0</v>
      </c>
      <c r="AE89" s="9">
        <f t="shared" si="154"/>
        <v>0</v>
      </c>
      <c r="AF89" s="9">
        <f t="shared" si="155"/>
        <v>0</v>
      </c>
      <c r="AG89" s="9">
        <f t="shared" si="156"/>
        <v>0</v>
      </c>
      <c r="AH89" s="9">
        <f t="shared" si="157"/>
        <v>0</v>
      </c>
      <c r="AI89" s="12" t="s">
        <v>236</v>
      </c>
      <c r="AJ89" s="9">
        <f t="shared" si="158"/>
        <v>0</v>
      </c>
      <c r="AK89" s="9">
        <f t="shared" si="159"/>
        <v>0</v>
      </c>
      <c r="AL89" s="9">
        <f t="shared" si="160"/>
        <v>0</v>
      </c>
      <c r="AN89" s="9">
        <v>21</v>
      </c>
      <c r="AO89" s="9">
        <f>H89*0.397165049</f>
        <v>0</v>
      </c>
      <c r="AP89" s="9">
        <f>H89*(1-0.397165049)</f>
        <v>0</v>
      </c>
      <c r="AQ89" s="69" t="s">
        <v>330</v>
      </c>
      <c r="AV89" s="9">
        <f t="shared" si="161"/>
        <v>0</v>
      </c>
      <c r="AW89" s="9">
        <f t="shared" si="162"/>
        <v>0</v>
      </c>
      <c r="AX89" s="9">
        <f t="shared" si="163"/>
        <v>0</v>
      </c>
      <c r="AY89" s="69" t="s">
        <v>356</v>
      </c>
      <c r="AZ89" s="69" t="s">
        <v>357</v>
      </c>
      <c r="BA89" s="12" t="s">
        <v>322</v>
      </c>
      <c r="BC89" s="9">
        <f t="shared" si="164"/>
        <v>0</v>
      </c>
      <c r="BD89" s="9">
        <f t="shared" si="165"/>
        <v>0</v>
      </c>
      <c r="BE89" s="9">
        <v>0</v>
      </c>
      <c r="BF89" s="9">
        <f t="shared" si="166"/>
        <v>0.42484</v>
      </c>
      <c r="BH89" s="9">
        <f t="shared" si="167"/>
        <v>0</v>
      </c>
      <c r="BI89" s="9">
        <f t="shared" si="168"/>
        <v>0</v>
      </c>
      <c r="BJ89" s="9">
        <f t="shared" si="169"/>
        <v>0</v>
      </c>
      <c r="BK89" s="69" t="s">
        <v>26</v>
      </c>
      <c r="BL89" s="9">
        <v>720</v>
      </c>
      <c r="BW89" s="9">
        <v>21</v>
      </c>
      <c r="BX89" s="3" t="s">
        <v>178</v>
      </c>
    </row>
    <row r="90" spans="1:76" ht="14.6" x14ac:dyDescent="0.4">
      <c r="A90" s="1">
        <v>61</v>
      </c>
      <c r="B90" s="2" t="s">
        <v>236</v>
      </c>
      <c r="C90" s="2" t="s">
        <v>187</v>
      </c>
      <c r="D90" s="184" t="s">
        <v>188</v>
      </c>
      <c r="E90" s="185"/>
      <c r="F90" s="2" t="s">
        <v>189</v>
      </c>
      <c r="G90" s="9">
        <v>0.75</v>
      </c>
      <c r="H90" s="9"/>
      <c r="I90" s="9">
        <f t="shared" si="146"/>
        <v>0</v>
      </c>
      <c r="J90" s="9">
        <f t="shared" si="147"/>
        <v>0</v>
      </c>
      <c r="K90" s="9">
        <f t="shared" si="148"/>
        <v>0</v>
      </c>
      <c r="L90" s="9">
        <v>2.5</v>
      </c>
      <c r="M90" s="9">
        <f t="shared" si="149"/>
        <v>1.875</v>
      </c>
      <c r="N90" s="68" t="s">
        <v>319</v>
      </c>
      <c r="Z90" s="9">
        <f t="shared" si="150"/>
        <v>0</v>
      </c>
      <c r="AB90" s="9">
        <f t="shared" si="151"/>
        <v>0</v>
      </c>
      <c r="AC90" s="9">
        <f t="shared" si="152"/>
        <v>0</v>
      </c>
      <c r="AD90" s="9">
        <f t="shared" si="153"/>
        <v>0</v>
      </c>
      <c r="AE90" s="9">
        <f t="shared" si="154"/>
        <v>0</v>
      </c>
      <c r="AF90" s="9">
        <f t="shared" si="155"/>
        <v>0</v>
      </c>
      <c r="AG90" s="9">
        <f t="shared" si="156"/>
        <v>0</v>
      </c>
      <c r="AH90" s="9">
        <f t="shared" si="157"/>
        <v>0</v>
      </c>
      <c r="AI90" s="12" t="s">
        <v>236</v>
      </c>
      <c r="AJ90" s="9">
        <f t="shared" si="158"/>
        <v>0</v>
      </c>
      <c r="AK90" s="9">
        <f t="shared" si="159"/>
        <v>0</v>
      </c>
      <c r="AL90" s="9">
        <f t="shared" si="160"/>
        <v>0</v>
      </c>
      <c r="AN90" s="9">
        <v>21</v>
      </c>
      <c r="AO90" s="9">
        <f>H90*0.461487399</f>
        <v>0</v>
      </c>
      <c r="AP90" s="9">
        <f>H90*(1-0.461487399)</f>
        <v>0</v>
      </c>
      <c r="AQ90" s="69" t="s">
        <v>330</v>
      </c>
      <c r="AV90" s="9">
        <f t="shared" si="161"/>
        <v>0</v>
      </c>
      <c r="AW90" s="9">
        <f t="shared" si="162"/>
        <v>0</v>
      </c>
      <c r="AX90" s="9">
        <f t="shared" si="163"/>
        <v>0</v>
      </c>
      <c r="AY90" s="69" t="s">
        <v>356</v>
      </c>
      <c r="AZ90" s="69" t="s">
        <v>357</v>
      </c>
      <c r="BA90" s="12" t="s">
        <v>322</v>
      </c>
      <c r="BC90" s="9">
        <f t="shared" si="164"/>
        <v>0</v>
      </c>
      <c r="BD90" s="9">
        <f t="shared" si="165"/>
        <v>0</v>
      </c>
      <c r="BE90" s="9">
        <v>0</v>
      </c>
      <c r="BF90" s="9">
        <f t="shared" si="166"/>
        <v>1.875</v>
      </c>
      <c r="BH90" s="9">
        <f t="shared" si="167"/>
        <v>0</v>
      </c>
      <c r="BI90" s="9">
        <f t="shared" si="168"/>
        <v>0</v>
      </c>
      <c r="BJ90" s="9">
        <f t="shared" si="169"/>
        <v>0</v>
      </c>
      <c r="BK90" s="69" t="s">
        <v>26</v>
      </c>
      <c r="BL90" s="9">
        <v>720</v>
      </c>
      <c r="BW90" s="9">
        <v>21</v>
      </c>
      <c r="BX90" s="3" t="s">
        <v>180</v>
      </c>
    </row>
    <row r="91" spans="1:76" ht="14.6" x14ac:dyDescent="0.4">
      <c r="A91" s="70" t="s">
        <v>236</v>
      </c>
      <c r="B91" s="11" t="s">
        <v>236</v>
      </c>
      <c r="C91" s="11" t="s">
        <v>190</v>
      </c>
      <c r="D91" s="240" t="s">
        <v>191</v>
      </c>
      <c r="E91" s="241"/>
      <c r="F91" s="71" t="s">
        <v>20</v>
      </c>
      <c r="G91" s="71" t="s">
        <v>20</v>
      </c>
      <c r="H91" s="71" t="s">
        <v>20</v>
      </c>
      <c r="I91" s="13">
        <f>ROUND(SUM(I92:I95),0)</f>
        <v>0</v>
      </c>
      <c r="J91" s="13">
        <f>ROUND(SUM(J92:J95),0)</f>
        <v>0</v>
      </c>
      <c r="K91" s="13">
        <f>ROUND(SUM(K92:K95),0)</f>
        <v>0</v>
      </c>
      <c r="L91" s="12" t="s">
        <v>236</v>
      </c>
      <c r="M91" s="13">
        <f>SUM(M92:M95)</f>
        <v>5.5500000000000002E-3</v>
      </c>
      <c r="N91" s="72" t="s">
        <v>236</v>
      </c>
      <c r="AI91" s="12" t="s">
        <v>236</v>
      </c>
      <c r="AS91" s="13">
        <f>SUM(AJ92:AJ95)</f>
        <v>0</v>
      </c>
      <c r="AT91" s="13">
        <f>SUM(AK92:AK95)</f>
        <v>0</v>
      </c>
      <c r="AU91" s="13">
        <f>SUM(AL92:AL95)</f>
        <v>0</v>
      </c>
      <c r="BW91" s="9">
        <v>21</v>
      </c>
      <c r="BX91" s="3" t="s">
        <v>182</v>
      </c>
    </row>
    <row r="92" spans="1:76" ht="14.6" x14ac:dyDescent="0.4">
      <c r="A92" s="1">
        <v>62</v>
      </c>
      <c r="B92" s="2" t="s">
        <v>236</v>
      </c>
      <c r="C92" s="2" t="s">
        <v>192</v>
      </c>
      <c r="D92" s="184" t="s">
        <v>193</v>
      </c>
      <c r="E92" s="185"/>
      <c r="F92" s="2" t="s">
        <v>51</v>
      </c>
      <c r="G92" s="9">
        <v>4</v>
      </c>
      <c r="H92" s="9"/>
      <c r="I92" s="9">
        <f>ROUND(G92*AO92,2)</f>
        <v>0</v>
      </c>
      <c r="J92" s="9">
        <f>ROUND(G92*AP92,2)</f>
        <v>0</v>
      </c>
      <c r="K92" s="9">
        <f>ROUND(G92*H92,0)</f>
        <v>0</v>
      </c>
      <c r="L92" s="9">
        <v>1.2E-4</v>
      </c>
      <c r="M92" s="9">
        <f>G92*L92</f>
        <v>4.8000000000000001E-4</v>
      </c>
      <c r="N92" s="68" t="s">
        <v>353</v>
      </c>
      <c r="Z92" s="9">
        <f>ROUND(IF(AQ92="5",BJ92,0),2)</f>
        <v>0</v>
      </c>
      <c r="AB92" s="9">
        <f>ROUND(IF(AQ92="1",BH92,0),2)</f>
        <v>0</v>
      </c>
      <c r="AC92" s="9">
        <f>ROUND(IF(AQ92="1",BI92,0),2)</f>
        <v>0</v>
      </c>
      <c r="AD92" s="9">
        <f>ROUND(IF(AQ92="7",BH92,0),2)</f>
        <v>0</v>
      </c>
      <c r="AE92" s="9">
        <f>ROUND(IF(AQ92="7",BI92,0),2)</f>
        <v>0</v>
      </c>
      <c r="AF92" s="9">
        <f>ROUND(IF(AQ92="2",BH92,0),2)</f>
        <v>0</v>
      </c>
      <c r="AG92" s="9">
        <f>ROUND(IF(AQ92="2",BI92,0),2)</f>
        <v>0</v>
      </c>
      <c r="AH92" s="9">
        <f>ROUND(IF(AQ92="0",BJ92,0),2)</f>
        <v>0</v>
      </c>
      <c r="AI92" s="12" t="s">
        <v>236</v>
      </c>
      <c r="AJ92" s="9">
        <f>IF(AN92=0,K92,0)</f>
        <v>0</v>
      </c>
      <c r="AK92" s="9">
        <f>IF(AN92=12,K92,0)</f>
        <v>0</v>
      </c>
      <c r="AL92" s="9">
        <f>IF(AN92=21,K92,0)</f>
        <v>0</v>
      </c>
      <c r="AN92" s="9">
        <v>21</v>
      </c>
      <c r="AO92" s="9">
        <f>H92*0.114992272</f>
        <v>0</v>
      </c>
      <c r="AP92" s="9">
        <f>H92*(1-0.114992272)</f>
        <v>0</v>
      </c>
      <c r="AQ92" s="69" t="s">
        <v>330</v>
      </c>
      <c r="AV92" s="9">
        <f>ROUND(AW92+AX92,2)</f>
        <v>0</v>
      </c>
      <c r="AW92" s="9">
        <f>ROUND(G92*AO92,2)</f>
        <v>0</v>
      </c>
      <c r="AX92" s="9">
        <f>ROUND(G92*AP92,2)</f>
        <v>0</v>
      </c>
      <c r="AY92" s="69" t="s">
        <v>358</v>
      </c>
      <c r="AZ92" s="69" t="s">
        <v>357</v>
      </c>
      <c r="BA92" s="12" t="s">
        <v>322</v>
      </c>
      <c r="BC92" s="9">
        <f>AW92+AX92</f>
        <v>0</v>
      </c>
      <c r="BD92" s="9">
        <f>H92/(100-BE92)*100</f>
        <v>0</v>
      </c>
      <c r="BE92" s="9">
        <v>0</v>
      </c>
      <c r="BF92" s="9">
        <f>M92</f>
        <v>4.8000000000000001E-4</v>
      </c>
      <c r="BH92" s="9">
        <f>G92*AO92</f>
        <v>0</v>
      </c>
      <c r="BI92" s="9">
        <f>G92*AP92</f>
        <v>0</v>
      </c>
      <c r="BJ92" s="9">
        <f>G92*H92</f>
        <v>0</v>
      </c>
      <c r="BK92" s="69" t="s">
        <v>26</v>
      </c>
      <c r="BL92" s="9">
        <v>721</v>
      </c>
      <c r="BW92" s="9">
        <v>21</v>
      </c>
      <c r="BX92" s="3" t="s">
        <v>184</v>
      </c>
    </row>
    <row r="93" spans="1:76" ht="14.6" x14ac:dyDescent="0.4">
      <c r="A93" s="1">
        <v>63</v>
      </c>
      <c r="B93" s="2" t="s">
        <v>236</v>
      </c>
      <c r="C93" s="2" t="s">
        <v>194</v>
      </c>
      <c r="D93" s="184" t="s">
        <v>195</v>
      </c>
      <c r="E93" s="185"/>
      <c r="F93" s="2" t="s">
        <v>68</v>
      </c>
      <c r="G93" s="9">
        <v>13</v>
      </c>
      <c r="H93" s="9"/>
      <c r="I93" s="9">
        <f>ROUND(G93*AO93,2)</f>
        <v>0</v>
      </c>
      <c r="J93" s="9">
        <f>ROUND(G93*AP93,2)</f>
        <v>0</v>
      </c>
      <c r="K93" s="9">
        <f>ROUND(G93*H93,0)</f>
        <v>0</v>
      </c>
      <c r="L93" s="9">
        <v>3.8999999999999999E-4</v>
      </c>
      <c r="M93" s="9">
        <f>G93*L93</f>
        <v>5.0699999999999999E-3</v>
      </c>
      <c r="N93" s="68" t="s">
        <v>353</v>
      </c>
      <c r="Z93" s="9">
        <f>ROUND(IF(AQ93="5",BJ93,0),2)</f>
        <v>0</v>
      </c>
      <c r="AB93" s="9">
        <f>ROUND(IF(AQ93="1",BH93,0),2)</f>
        <v>0</v>
      </c>
      <c r="AC93" s="9">
        <f>ROUND(IF(AQ93="1",BI93,0),2)</f>
        <v>0</v>
      </c>
      <c r="AD93" s="9">
        <f>ROUND(IF(AQ93="7",BH93,0),2)</f>
        <v>0</v>
      </c>
      <c r="AE93" s="9">
        <f>ROUND(IF(AQ93="7",BI93,0),2)</f>
        <v>0</v>
      </c>
      <c r="AF93" s="9">
        <f>ROUND(IF(AQ93="2",BH93,0),2)</f>
        <v>0</v>
      </c>
      <c r="AG93" s="9">
        <f>ROUND(IF(AQ93="2",BI93,0),2)</f>
        <v>0</v>
      </c>
      <c r="AH93" s="9">
        <f>ROUND(IF(AQ93="0",BJ93,0),2)</f>
        <v>0</v>
      </c>
      <c r="AI93" s="12" t="s">
        <v>236</v>
      </c>
      <c r="AJ93" s="9">
        <f>IF(AN93=0,K93,0)</f>
        <v>0</v>
      </c>
      <c r="AK93" s="9">
        <f>IF(AN93=12,K93,0)</f>
        <v>0</v>
      </c>
      <c r="AL93" s="9">
        <f>IF(AN93=21,K93,0)</f>
        <v>0</v>
      </c>
      <c r="AN93" s="9">
        <v>21</v>
      </c>
      <c r="AO93" s="9">
        <f>H93*0.256142626</f>
        <v>0</v>
      </c>
      <c r="AP93" s="9">
        <f>H93*(1-0.256142626)</f>
        <v>0</v>
      </c>
      <c r="AQ93" s="69" t="s">
        <v>330</v>
      </c>
      <c r="AV93" s="9">
        <f>ROUND(AW93+AX93,2)</f>
        <v>0</v>
      </c>
      <c r="AW93" s="9">
        <f>ROUND(G93*AO93,2)</f>
        <v>0</v>
      </c>
      <c r="AX93" s="9">
        <f>ROUND(G93*AP93,2)</f>
        <v>0</v>
      </c>
      <c r="AY93" s="69" t="s">
        <v>358</v>
      </c>
      <c r="AZ93" s="69" t="s">
        <v>357</v>
      </c>
      <c r="BA93" s="12" t="s">
        <v>322</v>
      </c>
      <c r="BC93" s="9">
        <f>AW93+AX93</f>
        <v>0</v>
      </c>
      <c r="BD93" s="9">
        <f>H93/(100-BE93)*100</f>
        <v>0</v>
      </c>
      <c r="BE93" s="9">
        <v>0</v>
      </c>
      <c r="BF93" s="9">
        <f>M93</f>
        <v>5.0699999999999999E-3</v>
      </c>
      <c r="BH93" s="9">
        <f>G93*AO93</f>
        <v>0</v>
      </c>
      <c r="BI93" s="9">
        <f>G93*AP93</f>
        <v>0</v>
      </c>
      <c r="BJ93" s="9">
        <f>G93*H93</f>
        <v>0</v>
      </c>
      <c r="BK93" s="69" t="s">
        <v>26</v>
      </c>
      <c r="BL93" s="9">
        <v>721</v>
      </c>
      <c r="BW93" s="9">
        <v>21</v>
      </c>
      <c r="BX93" s="3" t="s">
        <v>186</v>
      </c>
    </row>
    <row r="94" spans="1:76" ht="14.6" x14ac:dyDescent="0.4">
      <c r="A94" s="1">
        <v>64</v>
      </c>
      <c r="B94" s="2" t="s">
        <v>236</v>
      </c>
      <c r="C94" s="2" t="s">
        <v>196</v>
      </c>
      <c r="D94" s="184" t="s">
        <v>197</v>
      </c>
      <c r="E94" s="185"/>
      <c r="F94" s="2" t="s">
        <v>51</v>
      </c>
      <c r="G94" s="9">
        <v>8</v>
      </c>
      <c r="H94" s="9"/>
      <c r="I94" s="9">
        <f>ROUND(G94*AO94,2)</f>
        <v>0</v>
      </c>
      <c r="J94" s="9">
        <f>ROUND(G94*AP94,2)</f>
        <v>0</v>
      </c>
      <c r="K94" s="9">
        <f>ROUND(G94*H94,0)</f>
        <v>0</v>
      </c>
      <c r="L94" s="9">
        <v>0</v>
      </c>
      <c r="M94" s="9">
        <f>G94*L94</f>
        <v>0</v>
      </c>
      <c r="N94" s="68" t="s">
        <v>353</v>
      </c>
      <c r="Z94" s="9">
        <f>ROUND(IF(AQ94="5",BJ94,0),2)</f>
        <v>0</v>
      </c>
      <c r="AB94" s="9">
        <f>ROUND(IF(AQ94="1",BH94,0),2)</f>
        <v>0</v>
      </c>
      <c r="AC94" s="9">
        <f>ROUND(IF(AQ94="1",BI94,0),2)</f>
        <v>0</v>
      </c>
      <c r="AD94" s="9">
        <f>ROUND(IF(AQ94="7",BH94,0),2)</f>
        <v>0</v>
      </c>
      <c r="AE94" s="9">
        <f>ROUND(IF(AQ94="7",BI94,0),2)</f>
        <v>0</v>
      </c>
      <c r="AF94" s="9">
        <f>ROUND(IF(AQ94="2",BH94,0),2)</f>
        <v>0</v>
      </c>
      <c r="AG94" s="9">
        <f>ROUND(IF(AQ94="2",BI94,0),2)</f>
        <v>0</v>
      </c>
      <c r="AH94" s="9">
        <f>ROUND(IF(AQ94="0",BJ94,0),2)</f>
        <v>0</v>
      </c>
      <c r="AI94" s="12" t="s">
        <v>236</v>
      </c>
      <c r="AJ94" s="9">
        <f>IF(AN94=0,K94,0)</f>
        <v>0</v>
      </c>
      <c r="AK94" s="9">
        <f>IF(AN94=12,K94,0)</f>
        <v>0</v>
      </c>
      <c r="AL94" s="9">
        <f>IF(AN94=21,K94,0)</f>
        <v>0</v>
      </c>
      <c r="AN94" s="9">
        <v>21</v>
      </c>
      <c r="AO94" s="9">
        <f>H94*0</f>
        <v>0</v>
      </c>
      <c r="AP94" s="9">
        <f>H94*(1-0)</f>
        <v>0</v>
      </c>
      <c r="AQ94" s="69" t="s">
        <v>330</v>
      </c>
      <c r="AV94" s="9">
        <f>ROUND(AW94+AX94,2)</f>
        <v>0</v>
      </c>
      <c r="AW94" s="9">
        <f>ROUND(G94*AO94,2)</f>
        <v>0</v>
      </c>
      <c r="AX94" s="9">
        <f>ROUND(G94*AP94,2)</f>
        <v>0</v>
      </c>
      <c r="AY94" s="69" t="s">
        <v>358</v>
      </c>
      <c r="AZ94" s="69" t="s">
        <v>357</v>
      </c>
      <c r="BA94" s="12" t="s">
        <v>322</v>
      </c>
      <c r="BC94" s="9">
        <f>AW94+AX94</f>
        <v>0</v>
      </c>
      <c r="BD94" s="9">
        <f>H94/(100-BE94)*100</f>
        <v>0</v>
      </c>
      <c r="BE94" s="9">
        <v>0</v>
      </c>
      <c r="BF94" s="9">
        <f>M94</f>
        <v>0</v>
      </c>
      <c r="BH94" s="9">
        <f>G94*AO94</f>
        <v>0</v>
      </c>
      <c r="BI94" s="9">
        <f>G94*AP94</f>
        <v>0</v>
      </c>
      <c r="BJ94" s="9">
        <f>G94*H94</f>
        <v>0</v>
      </c>
      <c r="BK94" s="69" t="s">
        <v>26</v>
      </c>
      <c r="BL94" s="9">
        <v>721</v>
      </c>
      <c r="BW94" s="9">
        <v>21</v>
      </c>
      <c r="BX94" s="3" t="s">
        <v>188</v>
      </c>
    </row>
    <row r="95" spans="1:76" ht="14.6" x14ac:dyDescent="0.4">
      <c r="A95" s="1">
        <v>65</v>
      </c>
      <c r="B95" s="2" t="s">
        <v>236</v>
      </c>
      <c r="C95" s="2" t="s">
        <v>198</v>
      </c>
      <c r="D95" s="184" t="s">
        <v>199</v>
      </c>
      <c r="E95" s="185"/>
      <c r="F95" s="2" t="s">
        <v>68</v>
      </c>
      <c r="G95" s="9">
        <v>13</v>
      </c>
      <c r="H95" s="9"/>
      <c r="I95" s="9">
        <f>ROUND(G95*AO95,2)</f>
        <v>0</v>
      </c>
      <c r="J95" s="9">
        <f>ROUND(G95*AP95,2)</f>
        <v>0</v>
      </c>
      <c r="K95" s="9">
        <f>ROUND(G95*H95,0)</f>
        <v>0</v>
      </c>
      <c r="L95" s="9">
        <v>0</v>
      </c>
      <c r="M95" s="9">
        <f>G95*L95</f>
        <v>0</v>
      </c>
      <c r="N95" s="68" t="s">
        <v>353</v>
      </c>
      <c r="Z95" s="9">
        <f>ROUND(IF(AQ95="5",BJ95,0),2)</f>
        <v>0</v>
      </c>
      <c r="AB95" s="9">
        <f>ROUND(IF(AQ95="1",BH95,0),2)</f>
        <v>0</v>
      </c>
      <c r="AC95" s="9">
        <f>ROUND(IF(AQ95="1",BI95,0),2)</f>
        <v>0</v>
      </c>
      <c r="AD95" s="9">
        <f>ROUND(IF(AQ95="7",BH95,0),2)</f>
        <v>0</v>
      </c>
      <c r="AE95" s="9">
        <f>ROUND(IF(AQ95="7",BI95,0),2)</f>
        <v>0</v>
      </c>
      <c r="AF95" s="9">
        <f>ROUND(IF(AQ95="2",BH95,0),2)</f>
        <v>0</v>
      </c>
      <c r="AG95" s="9">
        <f>ROUND(IF(AQ95="2",BI95,0),2)</f>
        <v>0</v>
      </c>
      <c r="AH95" s="9">
        <f>ROUND(IF(AQ95="0",BJ95,0),2)</f>
        <v>0</v>
      </c>
      <c r="AI95" s="12" t="s">
        <v>236</v>
      </c>
      <c r="AJ95" s="9">
        <f>IF(AN95=0,K95,0)</f>
        <v>0</v>
      </c>
      <c r="AK95" s="9">
        <f>IF(AN95=12,K95,0)</f>
        <v>0</v>
      </c>
      <c r="AL95" s="9">
        <f>IF(AN95=21,K95,0)</f>
        <v>0</v>
      </c>
      <c r="AN95" s="9">
        <v>21</v>
      </c>
      <c r="AO95" s="9">
        <f>H95*0.027118644</f>
        <v>0</v>
      </c>
      <c r="AP95" s="9">
        <f>H95*(1-0.027118644)</f>
        <v>0</v>
      </c>
      <c r="AQ95" s="69" t="s">
        <v>330</v>
      </c>
      <c r="AV95" s="9">
        <f>ROUND(AW95+AX95,2)</f>
        <v>0</v>
      </c>
      <c r="AW95" s="9">
        <f>ROUND(G95*AO95,2)</f>
        <v>0</v>
      </c>
      <c r="AX95" s="9">
        <f>ROUND(G95*AP95,2)</f>
        <v>0</v>
      </c>
      <c r="AY95" s="69" t="s">
        <v>358</v>
      </c>
      <c r="AZ95" s="69" t="s">
        <v>357</v>
      </c>
      <c r="BA95" s="12" t="s">
        <v>322</v>
      </c>
      <c r="BC95" s="9">
        <f>AW95+AX95</f>
        <v>0</v>
      </c>
      <c r="BD95" s="9">
        <f>H95/(100-BE95)*100</f>
        <v>0</v>
      </c>
      <c r="BE95" s="9">
        <v>0</v>
      </c>
      <c r="BF95" s="9">
        <f>M95</f>
        <v>0</v>
      </c>
      <c r="BH95" s="9">
        <f>G95*AO95</f>
        <v>0</v>
      </c>
      <c r="BI95" s="9">
        <f>G95*AP95</f>
        <v>0</v>
      </c>
      <c r="BJ95" s="9">
        <f>G95*H95</f>
        <v>0</v>
      </c>
      <c r="BK95" s="69" t="s">
        <v>26</v>
      </c>
      <c r="BL95" s="9">
        <v>721</v>
      </c>
    </row>
    <row r="96" spans="1:76" ht="14.6" x14ac:dyDescent="0.4">
      <c r="A96" s="70" t="s">
        <v>236</v>
      </c>
      <c r="B96" s="11" t="s">
        <v>236</v>
      </c>
      <c r="C96" s="11" t="s">
        <v>200</v>
      </c>
      <c r="D96" s="240" t="s">
        <v>201</v>
      </c>
      <c r="E96" s="241"/>
      <c r="F96" s="71" t="s">
        <v>20</v>
      </c>
      <c r="G96" s="71" t="s">
        <v>20</v>
      </c>
      <c r="H96" s="71" t="s">
        <v>20</v>
      </c>
      <c r="I96" s="13">
        <f>ROUND(SUM(I97:I107),0)</f>
        <v>0</v>
      </c>
      <c r="J96" s="13">
        <f>ROUND(SUM(J97:J107),0)</f>
        <v>0</v>
      </c>
      <c r="K96" s="13">
        <f>ROUND(SUM(K97:K107),0)</f>
        <v>0</v>
      </c>
      <c r="L96" s="12" t="s">
        <v>236</v>
      </c>
      <c r="M96" s="13">
        <f>SUM(M97:M107)</f>
        <v>0.12723300000000001</v>
      </c>
      <c r="N96" s="72" t="s">
        <v>236</v>
      </c>
      <c r="AI96" s="12" t="s">
        <v>236</v>
      </c>
      <c r="AS96" s="13">
        <f>SUM(AJ97:AJ107)</f>
        <v>0</v>
      </c>
      <c r="AT96" s="13">
        <f>SUM(AK97:AK107)</f>
        <v>0</v>
      </c>
      <c r="AU96" s="13">
        <f>SUM(AL97:AL107)</f>
        <v>0</v>
      </c>
      <c r="BW96" s="9">
        <v>21</v>
      </c>
      <c r="BX96" s="3" t="s">
        <v>193</v>
      </c>
    </row>
    <row r="97" spans="1:76" ht="14.6" x14ac:dyDescent="0.4">
      <c r="A97" s="1">
        <v>66</v>
      </c>
      <c r="B97" s="2" t="s">
        <v>236</v>
      </c>
      <c r="C97" s="2" t="s">
        <v>202</v>
      </c>
      <c r="D97" s="184" t="s">
        <v>483</v>
      </c>
      <c r="E97" s="185"/>
      <c r="F97" s="2" t="s">
        <v>68</v>
      </c>
      <c r="G97" s="9">
        <v>16.5</v>
      </c>
      <c r="H97" s="9"/>
      <c r="I97" s="9">
        <f t="shared" ref="I97:I107" si="170">ROUND(G97*AO97,2)</f>
        <v>0</v>
      </c>
      <c r="J97" s="9">
        <f t="shared" ref="J97:J107" si="171">ROUND(G97*AP97,2)</f>
        <v>0</v>
      </c>
      <c r="K97" s="9">
        <f t="shared" ref="K97:K106" si="172">ROUND(G97*H97,0)</f>
        <v>0</v>
      </c>
      <c r="L97" s="9">
        <v>3.9899999999999996E-3</v>
      </c>
      <c r="M97" s="9">
        <f t="shared" ref="M97:M107" si="173">G97*L97</f>
        <v>6.5834999999999991E-2</v>
      </c>
      <c r="N97" s="68" t="s">
        <v>353</v>
      </c>
      <c r="Z97" s="9">
        <f t="shared" ref="Z97:Z107" si="174">ROUND(IF(AQ97="5",BJ97,0),2)</f>
        <v>0</v>
      </c>
      <c r="AB97" s="9">
        <f t="shared" ref="AB97:AB107" si="175">ROUND(IF(AQ97="1",BH97,0),2)</f>
        <v>0</v>
      </c>
      <c r="AC97" s="9">
        <f t="shared" ref="AC97:AC107" si="176">ROUND(IF(AQ97="1",BI97,0),2)</f>
        <v>0</v>
      </c>
      <c r="AD97" s="9">
        <f t="shared" ref="AD97:AD107" si="177">ROUND(IF(AQ97="7",BH97,0),2)</f>
        <v>0</v>
      </c>
      <c r="AE97" s="9">
        <f t="shared" ref="AE97:AE107" si="178">ROUND(IF(AQ97="7",BI97,0),2)</f>
        <v>0</v>
      </c>
      <c r="AF97" s="9">
        <f t="shared" ref="AF97:AF107" si="179">ROUND(IF(AQ97="2",BH97,0),2)</f>
        <v>0</v>
      </c>
      <c r="AG97" s="9">
        <f t="shared" ref="AG97:AG107" si="180">ROUND(IF(AQ97="2",BI97,0),2)</f>
        <v>0</v>
      </c>
      <c r="AH97" s="9">
        <f t="shared" ref="AH97:AH107" si="181">ROUND(IF(AQ97="0",BJ97,0),2)</f>
        <v>0</v>
      </c>
      <c r="AI97" s="12" t="s">
        <v>236</v>
      </c>
      <c r="AJ97" s="9">
        <f t="shared" ref="AJ97:AJ107" si="182">IF(AN97=0,K97,0)</f>
        <v>0</v>
      </c>
      <c r="AK97" s="9">
        <f t="shared" ref="AK97:AK107" si="183">IF(AN97=12,K97,0)</f>
        <v>0</v>
      </c>
      <c r="AL97" s="9">
        <f t="shared" ref="AL97:AL107" si="184">IF(AN97=21,K97,0)</f>
        <v>0</v>
      </c>
      <c r="AN97" s="9">
        <v>21</v>
      </c>
      <c r="AO97" s="9">
        <f>H97*0.199666181</f>
        <v>0</v>
      </c>
      <c r="AP97" s="9">
        <f>H97*(1-0.199666181)</f>
        <v>0</v>
      </c>
      <c r="AQ97" s="69" t="s">
        <v>330</v>
      </c>
      <c r="AV97" s="9">
        <f t="shared" ref="AV97:AV107" si="185">ROUND(AW97+AX97,2)</f>
        <v>0</v>
      </c>
      <c r="AW97" s="9">
        <f t="shared" ref="AW97:AW107" si="186">ROUND(G97*AO97,2)</f>
        <v>0</v>
      </c>
      <c r="AX97" s="9">
        <f t="shared" ref="AX97:AX107" si="187">ROUND(G97*AP97,2)</f>
        <v>0</v>
      </c>
      <c r="AY97" s="69" t="s">
        <v>359</v>
      </c>
      <c r="AZ97" s="69" t="s">
        <v>357</v>
      </c>
      <c r="BA97" s="12" t="s">
        <v>322</v>
      </c>
      <c r="BC97" s="9">
        <f t="shared" ref="BC97:BC107" si="188">AW97+AX97</f>
        <v>0</v>
      </c>
      <c r="BD97" s="9">
        <f t="shared" ref="BD97:BD107" si="189">H97/(100-BE97)*100</f>
        <v>0</v>
      </c>
      <c r="BE97" s="9">
        <v>0</v>
      </c>
      <c r="BF97" s="9">
        <f t="shared" ref="BF97:BF107" si="190">M97</f>
        <v>6.5834999999999991E-2</v>
      </c>
      <c r="BH97" s="9">
        <f t="shared" ref="BH97:BH107" si="191">G97*AO97</f>
        <v>0</v>
      </c>
      <c r="BI97" s="9">
        <f t="shared" ref="BI97:BI107" si="192">G97*AP97</f>
        <v>0</v>
      </c>
      <c r="BJ97" s="9">
        <f t="shared" ref="BJ97:BJ107" si="193">G97*H97</f>
        <v>0</v>
      </c>
      <c r="BK97" s="69" t="s">
        <v>26</v>
      </c>
      <c r="BL97" s="9">
        <v>722</v>
      </c>
      <c r="BW97" s="9">
        <v>21</v>
      </c>
      <c r="BX97" s="3" t="s">
        <v>195</v>
      </c>
    </row>
    <row r="98" spans="1:76" ht="14.6" x14ac:dyDescent="0.4">
      <c r="A98" s="1">
        <v>67</v>
      </c>
      <c r="B98" s="2" t="s">
        <v>236</v>
      </c>
      <c r="C98" s="2" t="s">
        <v>204</v>
      </c>
      <c r="D98" s="184" t="s">
        <v>484</v>
      </c>
      <c r="E98" s="185"/>
      <c r="F98" s="2" t="s">
        <v>68</v>
      </c>
      <c r="G98" s="9">
        <v>11.3</v>
      </c>
      <c r="H98" s="9"/>
      <c r="I98" s="9">
        <f t="shared" si="170"/>
        <v>0</v>
      </c>
      <c r="J98" s="9">
        <f t="shared" si="171"/>
        <v>0</v>
      </c>
      <c r="K98" s="9">
        <f t="shared" si="172"/>
        <v>0</v>
      </c>
      <c r="L98" s="9">
        <v>4.0099999999999997E-3</v>
      </c>
      <c r="M98" s="9">
        <f t="shared" si="173"/>
        <v>4.5312999999999999E-2</v>
      </c>
      <c r="N98" s="68" t="s">
        <v>353</v>
      </c>
      <c r="Z98" s="9">
        <f t="shared" si="174"/>
        <v>0</v>
      </c>
      <c r="AB98" s="9">
        <f t="shared" si="175"/>
        <v>0</v>
      </c>
      <c r="AC98" s="9">
        <f t="shared" si="176"/>
        <v>0</v>
      </c>
      <c r="AD98" s="9">
        <f t="shared" si="177"/>
        <v>0</v>
      </c>
      <c r="AE98" s="9">
        <f t="shared" si="178"/>
        <v>0</v>
      </c>
      <c r="AF98" s="9">
        <f t="shared" si="179"/>
        <v>0</v>
      </c>
      <c r="AG98" s="9">
        <f t="shared" si="180"/>
        <v>0</v>
      </c>
      <c r="AH98" s="9">
        <f t="shared" si="181"/>
        <v>0</v>
      </c>
      <c r="AI98" s="12" t="s">
        <v>236</v>
      </c>
      <c r="AJ98" s="9">
        <f t="shared" si="182"/>
        <v>0</v>
      </c>
      <c r="AK98" s="9">
        <f t="shared" si="183"/>
        <v>0</v>
      </c>
      <c r="AL98" s="9">
        <f t="shared" si="184"/>
        <v>0</v>
      </c>
      <c r="AN98" s="9">
        <v>21</v>
      </c>
      <c r="AO98" s="9">
        <f>H98*0.213346008</f>
        <v>0</v>
      </c>
      <c r="AP98" s="9">
        <f>H98*(1-0.213346008)</f>
        <v>0</v>
      </c>
      <c r="AQ98" s="69" t="s">
        <v>330</v>
      </c>
      <c r="AV98" s="9">
        <f t="shared" si="185"/>
        <v>0</v>
      </c>
      <c r="AW98" s="9">
        <f t="shared" si="186"/>
        <v>0</v>
      </c>
      <c r="AX98" s="9">
        <f t="shared" si="187"/>
        <v>0</v>
      </c>
      <c r="AY98" s="69" t="s">
        <v>359</v>
      </c>
      <c r="AZ98" s="69" t="s">
        <v>357</v>
      </c>
      <c r="BA98" s="12" t="s">
        <v>322</v>
      </c>
      <c r="BC98" s="9">
        <f t="shared" si="188"/>
        <v>0</v>
      </c>
      <c r="BD98" s="9">
        <f t="shared" si="189"/>
        <v>0</v>
      </c>
      <c r="BE98" s="9">
        <v>0</v>
      </c>
      <c r="BF98" s="9">
        <f t="shared" si="190"/>
        <v>4.5312999999999999E-2</v>
      </c>
      <c r="BH98" s="9">
        <f t="shared" si="191"/>
        <v>0</v>
      </c>
      <c r="BI98" s="9">
        <f t="shared" si="192"/>
        <v>0</v>
      </c>
      <c r="BJ98" s="9">
        <f t="shared" si="193"/>
        <v>0</v>
      </c>
      <c r="BK98" s="69" t="s">
        <v>26</v>
      </c>
      <c r="BL98" s="9">
        <v>722</v>
      </c>
      <c r="BW98" s="9">
        <v>21</v>
      </c>
      <c r="BX98" s="3" t="s">
        <v>197</v>
      </c>
    </row>
    <row r="99" spans="1:76" ht="14.6" x14ac:dyDescent="0.4">
      <c r="A99" s="1">
        <v>68</v>
      </c>
      <c r="B99" s="2" t="s">
        <v>236</v>
      </c>
      <c r="C99" s="2" t="s">
        <v>206</v>
      </c>
      <c r="D99" s="184" t="s">
        <v>485</v>
      </c>
      <c r="E99" s="185"/>
      <c r="F99" s="2" t="s">
        <v>51</v>
      </c>
      <c r="G99" s="9">
        <v>4</v>
      </c>
      <c r="H99" s="9"/>
      <c r="I99" s="9">
        <f t="shared" si="170"/>
        <v>0</v>
      </c>
      <c r="J99" s="9">
        <f t="shared" si="171"/>
        <v>0</v>
      </c>
      <c r="K99" s="9">
        <f t="shared" si="172"/>
        <v>0</v>
      </c>
      <c r="L99" s="9">
        <v>1.8000000000000001E-4</v>
      </c>
      <c r="M99" s="9">
        <f t="shared" si="173"/>
        <v>7.2000000000000005E-4</v>
      </c>
      <c r="N99" s="68" t="s">
        <v>353</v>
      </c>
      <c r="Z99" s="9">
        <f t="shared" si="174"/>
        <v>0</v>
      </c>
      <c r="AB99" s="9">
        <f t="shared" si="175"/>
        <v>0</v>
      </c>
      <c r="AC99" s="9">
        <f t="shared" si="176"/>
        <v>0</v>
      </c>
      <c r="AD99" s="9">
        <f t="shared" si="177"/>
        <v>0</v>
      </c>
      <c r="AE99" s="9">
        <f t="shared" si="178"/>
        <v>0</v>
      </c>
      <c r="AF99" s="9">
        <f t="shared" si="179"/>
        <v>0</v>
      </c>
      <c r="AG99" s="9">
        <f t="shared" si="180"/>
        <v>0</v>
      </c>
      <c r="AH99" s="9">
        <f t="shared" si="181"/>
        <v>0</v>
      </c>
      <c r="AI99" s="12" t="s">
        <v>236</v>
      </c>
      <c r="AJ99" s="9">
        <f t="shared" si="182"/>
        <v>0</v>
      </c>
      <c r="AK99" s="9">
        <f t="shared" si="183"/>
        <v>0</v>
      </c>
      <c r="AL99" s="9">
        <f t="shared" si="184"/>
        <v>0</v>
      </c>
      <c r="AN99" s="9">
        <v>21</v>
      </c>
      <c r="AO99" s="9">
        <f>H99*0.712449799</f>
        <v>0</v>
      </c>
      <c r="AP99" s="9">
        <f>H99*(1-0.712449799)</f>
        <v>0</v>
      </c>
      <c r="AQ99" s="69" t="s">
        <v>330</v>
      </c>
      <c r="AV99" s="9">
        <f t="shared" si="185"/>
        <v>0</v>
      </c>
      <c r="AW99" s="9">
        <f t="shared" si="186"/>
        <v>0</v>
      </c>
      <c r="AX99" s="9">
        <f t="shared" si="187"/>
        <v>0</v>
      </c>
      <c r="AY99" s="69" t="s">
        <v>359</v>
      </c>
      <c r="AZ99" s="69" t="s">
        <v>357</v>
      </c>
      <c r="BA99" s="12" t="s">
        <v>322</v>
      </c>
      <c r="BC99" s="9">
        <f t="shared" si="188"/>
        <v>0</v>
      </c>
      <c r="BD99" s="9">
        <f t="shared" si="189"/>
        <v>0</v>
      </c>
      <c r="BE99" s="9">
        <v>0</v>
      </c>
      <c r="BF99" s="9">
        <f t="shared" si="190"/>
        <v>7.2000000000000005E-4</v>
      </c>
      <c r="BH99" s="9">
        <f t="shared" si="191"/>
        <v>0</v>
      </c>
      <c r="BI99" s="9">
        <f t="shared" si="192"/>
        <v>0</v>
      </c>
      <c r="BJ99" s="9">
        <f t="shared" si="193"/>
        <v>0</v>
      </c>
      <c r="BK99" s="69" t="s">
        <v>26</v>
      </c>
      <c r="BL99" s="9">
        <v>722</v>
      </c>
      <c r="BW99" s="9">
        <v>21</v>
      </c>
      <c r="BX99" s="3" t="s">
        <v>199</v>
      </c>
    </row>
    <row r="100" spans="1:76" ht="14.6" x14ac:dyDescent="0.4">
      <c r="A100" s="1">
        <v>69</v>
      </c>
      <c r="B100" s="2" t="s">
        <v>236</v>
      </c>
      <c r="C100" s="2" t="s">
        <v>208</v>
      </c>
      <c r="D100" s="184" t="s">
        <v>209</v>
      </c>
      <c r="E100" s="185"/>
      <c r="F100" s="2" t="s">
        <v>51</v>
      </c>
      <c r="G100" s="9">
        <v>2</v>
      </c>
      <c r="H100" s="9"/>
      <c r="I100" s="9">
        <f t="shared" si="170"/>
        <v>0</v>
      </c>
      <c r="J100" s="9">
        <f t="shared" si="171"/>
        <v>0</v>
      </c>
      <c r="K100" s="9">
        <f t="shared" si="172"/>
        <v>0</v>
      </c>
      <c r="L100" s="9">
        <v>6.6100000000000004E-3</v>
      </c>
      <c r="M100" s="9">
        <f t="shared" si="173"/>
        <v>1.3220000000000001E-2</v>
      </c>
      <c r="N100" s="68" t="s">
        <v>353</v>
      </c>
      <c r="Z100" s="9">
        <f t="shared" si="174"/>
        <v>0</v>
      </c>
      <c r="AB100" s="9">
        <f t="shared" si="175"/>
        <v>0</v>
      </c>
      <c r="AC100" s="9">
        <f t="shared" si="176"/>
        <v>0</v>
      </c>
      <c r="AD100" s="9">
        <f t="shared" si="177"/>
        <v>0</v>
      </c>
      <c r="AE100" s="9">
        <f t="shared" si="178"/>
        <v>0</v>
      </c>
      <c r="AF100" s="9">
        <f t="shared" si="179"/>
        <v>0</v>
      </c>
      <c r="AG100" s="9">
        <f t="shared" si="180"/>
        <v>0</v>
      </c>
      <c r="AH100" s="9">
        <f t="shared" si="181"/>
        <v>0</v>
      </c>
      <c r="AI100" s="12" t="s">
        <v>236</v>
      </c>
      <c r="AJ100" s="9">
        <f t="shared" si="182"/>
        <v>0</v>
      </c>
      <c r="AK100" s="9">
        <f t="shared" si="183"/>
        <v>0</v>
      </c>
      <c r="AL100" s="9">
        <f t="shared" si="184"/>
        <v>0</v>
      </c>
      <c r="AN100" s="9">
        <v>21</v>
      </c>
      <c r="AO100" s="9">
        <f>H100*0.572226027</f>
        <v>0</v>
      </c>
      <c r="AP100" s="9">
        <f>H100*(1-0.572226027)</f>
        <v>0</v>
      </c>
      <c r="AQ100" s="69" t="s">
        <v>330</v>
      </c>
      <c r="AV100" s="9">
        <f t="shared" si="185"/>
        <v>0</v>
      </c>
      <c r="AW100" s="9">
        <f t="shared" si="186"/>
        <v>0</v>
      </c>
      <c r="AX100" s="9">
        <f t="shared" si="187"/>
        <v>0</v>
      </c>
      <c r="AY100" s="69" t="s">
        <v>359</v>
      </c>
      <c r="AZ100" s="69" t="s">
        <v>357</v>
      </c>
      <c r="BA100" s="12" t="s">
        <v>322</v>
      </c>
      <c r="BC100" s="9">
        <f t="shared" si="188"/>
        <v>0</v>
      </c>
      <c r="BD100" s="9">
        <f t="shared" si="189"/>
        <v>0</v>
      </c>
      <c r="BE100" s="9">
        <v>0</v>
      </c>
      <c r="BF100" s="9">
        <f t="shared" si="190"/>
        <v>1.3220000000000001E-2</v>
      </c>
      <c r="BH100" s="9">
        <f t="shared" si="191"/>
        <v>0</v>
      </c>
      <c r="BI100" s="9">
        <f t="shared" si="192"/>
        <v>0</v>
      </c>
      <c r="BJ100" s="9">
        <f t="shared" si="193"/>
        <v>0</v>
      </c>
      <c r="BK100" s="69" t="s">
        <v>26</v>
      </c>
      <c r="BL100" s="9">
        <v>722</v>
      </c>
    </row>
    <row r="101" spans="1:76" ht="14.6" x14ac:dyDescent="0.4">
      <c r="A101" s="1">
        <v>70</v>
      </c>
      <c r="B101" s="2" t="s">
        <v>236</v>
      </c>
      <c r="C101" s="2" t="s">
        <v>210</v>
      </c>
      <c r="D101" s="184" t="s">
        <v>457</v>
      </c>
      <c r="E101" s="185"/>
      <c r="F101" s="2" t="s">
        <v>68</v>
      </c>
      <c r="G101" s="9">
        <v>16.5</v>
      </c>
      <c r="H101" s="9"/>
      <c r="I101" s="9">
        <f t="shared" si="170"/>
        <v>0</v>
      </c>
      <c r="J101" s="9">
        <f t="shared" si="171"/>
        <v>0</v>
      </c>
      <c r="K101" s="9">
        <f t="shared" si="172"/>
        <v>0</v>
      </c>
      <c r="L101" s="9">
        <v>4.0000000000000003E-5</v>
      </c>
      <c r="M101" s="9">
        <f t="shared" si="173"/>
        <v>6.600000000000001E-4</v>
      </c>
      <c r="N101" s="68" t="s">
        <v>353</v>
      </c>
      <c r="Z101" s="9">
        <f t="shared" si="174"/>
        <v>0</v>
      </c>
      <c r="AB101" s="9">
        <f t="shared" si="175"/>
        <v>0</v>
      </c>
      <c r="AC101" s="9">
        <f t="shared" si="176"/>
        <v>0</v>
      </c>
      <c r="AD101" s="9">
        <f t="shared" si="177"/>
        <v>0</v>
      </c>
      <c r="AE101" s="9">
        <f t="shared" si="178"/>
        <v>0</v>
      </c>
      <c r="AF101" s="9">
        <f t="shared" si="179"/>
        <v>0</v>
      </c>
      <c r="AG101" s="9">
        <f t="shared" si="180"/>
        <v>0</v>
      </c>
      <c r="AH101" s="9">
        <f t="shared" si="181"/>
        <v>0</v>
      </c>
      <c r="AI101" s="12" t="s">
        <v>236</v>
      </c>
      <c r="AJ101" s="9">
        <f t="shared" si="182"/>
        <v>0</v>
      </c>
      <c r="AK101" s="9">
        <f t="shared" si="183"/>
        <v>0</v>
      </c>
      <c r="AL101" s="9">
        <f t="shared" si="184"/>
        <v>0</v>
      </c>
      <c r="AN101" s="9">
        <v>21</v>
      </c>
      <c r="AO101" s="9">
        <f>H101*0.20964487</f>
        <v>0</v>
      </c>
      <c r="AP101" s="9">
        <f>H101*(1-0.20964487)</f>
        <v>0</v>
      </c>
      <c r="AQ101" s="69" t="s">
        <v>330</v>
      </c>
      <c r="AV101" s="9">
        <f t="shared" si="185"/>
        <v>0</v>
      </c>
      <c r="AW101" s="9">
        <f t="shared" si="186"/>
        <v>0</v>
      </c>
      <c r="AX101" s="9">
        <f t="shared" si="187"/>
        <v>0</v>
      </c>
      <c r="AY101" s="69" t="s">
        <v>359</v>
      </c>
      <c r="AZ101" s="69" t="s">
        <v>357</v>
      </c>
      <c r="BA101" s="12" t="s">
        <v>322</v>
      </c>
      <c r="BC101" s="9">
        <f t="shared" si="188"/>
        <v>0</v>
      </c>
      <c r="BD101" s="9">
        <f t="shared" si="189"/>
        <v>0</v>
      </c>
      <c r="BE101" s="9">
        <v>0</v>
      </c>
      <c r="BF101" s="9">
        <f t="shared" si="190"/>
        <v>6.600000000000001E-4</v>
      </c>
      <c r="BH101" s="9">
        <f t="shared" si="191"/>
        <v>0</v>
      </c>
      <c r="BI101" s="9">
        <f t="shared" si="192"/>
        <v>0</v>
      </c>
      <c r="BJ101" s="9">
        <f t="shared" si="193"/>
        <v>0</v>
      </c>
      <c r="BK101" s="69" t="s">
        <v>26</v>
      </c>
      <c r="BL101" s="9">
        <v>722</v>
      </c>
      <c r="BW101" s="9">
        <v>21</v>
      </c>
      <c r="BX101" s="3" t="s">
        <v>203</v>
      </c>
    </row>
    <row r="102" spans="1:76" ht="14.6" x14ac:dyDescent="0.4">
      <c r="A102" s="1">
        <v>71</v>
      </c>
      <c r="B102" s="2" t="s">
        <v>236</v>
      </c>
      <c r="C102" s="2" t="s">
        <v>212</v>
      </c>
      <c r="D102" s="184" t="s">
        <v>458</v>
      </c>
      <c r="E102" s="185"/>
      <c r="F102" s="2" t="s">
        <v>68</v>
      </c>
      <c r="G102" s="9">
        <v>11.3</v>
      </c>
      <c r="H102" s="9"/>
      <c r="I102" s="9">
        <f t="shared" si="170"/>
        <v>0</v>
      </c>
      <c r="J102" s="9">
        <f t="shared" si="171"/>
        <v>0</v>
      </c>
      <c r="K102" s="9">
        <f t="shared" si="172"/>
        <v>0</v>
      </c>
      <c r="L102" s="9">
        <v>5.0000000000000002E-5</v>
      </c>
      <c r="M102" s="9">
        <f t="shared" si="173"/>
        <v>5.6500000000000007E-4</v>
      </c>
      <c r="N102" s="68" t="s">
        <v>353</v>
      </c>
      <c r="Z102" s="9">
        <f t="shared" si="174"/>
        <v>0</v>
      </c>
      <c r="AB102" s="9">
        <f t="shared" si="175"/>
        <v>0</v>
      </c>
      <c r="AC102" s="9">
        <f t="shared" si="176"/>
        <v>0</v>
      </c>
      <c r="AD102" s="9">
        <f t="shared" si="177"/>
        <v>0</v>
      </c>
      <c r="AE102" s="9">
        <f t="shared" si="178"/>
        <v>0</v>
      </c>
      <c r="AF102" s="9">
        <f t="shared" si="179"/>
        <v>0</v>
      </c>
      <c r="AG102" s="9">
        <f t="shared" si="180"/>
        <v>0</v>
      </c>
      <c r="AH102" s="9">
        <f t="shared" si="181"/>
        <v>0</v>
      </c>
      <c r="AI102" s="12" t="s">
        <v>236</v>
      </c>
      <c r="AJ102" s="9">
        <f t="shared" si="182"/>
        <v>0</v>
      </c>
      <c r="AK102" s="9">
        <f t="shared" si="183"/>
        <v>0</v>
      </c>
      <c r="AL102" s="9">
        <f t="shared" si="184"/>
        <v>0</v>
      </c>
      <c r="AN102" s="9">
        <v>21</v>
      </c>
      <c r="AO102" s="9">
        <f>H102*0.244492526</f>
        <v>0</v>
      </c>
      <c r="AP102" s="9">
        <f>H102*(1-0.244492526)</f>
        <v>0</v>
      </c>
      <c r="AQ102" s="69" t="s">
        <v>330</v>
      </c>
      <c r="AV102" s="9">
        <f t="shared" si="185"/>
        <v>0</v>
      </c>
      <c r="AW102" s="9">
        <f t="shared" si="186"/>
        <v>0</v>
      </c>
      <c r="AX102" s="9">
        <f t="shared" si="187"/>
        <v>0</v>
      </c>
      <c r="AY102" s="69" t="s">
        <v>359</v>
      </c>
      <c r="AZ102" s="69" t="s">
        <v>357</v>
      </c>
      <c r="BA102" s="12" t="s">
        <v>322</v>
      </c>
      <c r="BC102" s="9">
        <f t="shared" si="188"/>
        <v>0</v>
      </c>
      <c r="BD102" s="9">
        <f t="shared" si="189"/>
        <v>0</v>
      </c>
      <c r="BE102" s="9">
        <v>0</v>
      </c>
      <c r="BF102" s="9">
        <f t="shared" si="190"/>
        <v>5.6500000000000007E-4</v>
      </c>
      <c r="BH102" s="9">
        <f t="shared" si="191"/>
        <v>0</v>
      </c>
      <c r="BI102" s="9">
        <f t="shared" si="192"/>
        <v>0</v>
      </c>
      <c r="BJ102" s="9">
        <f t="shared" si="193"/>
        <v>0</v>
      </c>
      <c r="BK102" s="69" t="s">
        <v>26</v>
      </c>
      <c r="BL102" s="9">
        <v>722</v>
      </c>
      <c r="BW102" s="9">
        <v>21</v>
      </c>
      <c r="BX102" s="3" t="s">
        <v>205</v>
      </c>
    </row>
    <row r="103" spans="1:76" ht="14.6" x14ac:dyDescent="0.4">
      <c r="A103" s="1">
        <v>72</v>
      </c>
      <c r="B103" s="2" t="s">
        <v>236</v>
      </c>
      <c r="C103" s="2" t="s">
        <v>214</v>
      </c>
      <c r="D103" s="184" t="s">
        <v>486</v>
      </c>
      <c r="E103" s="185"/>
      <c r="F103" s="2" t="s">
        <v>51</v>
      </c>
      <c r="G103" s="9">
        <v>4</v>
      </c>
      <c r="H103" s="9"/>
      <c r="I103" s="9">
        <f t="shared" si="170"/>
        <v>0</v>
      </c>
      <c r="J103" s="9">
        <f t="shared" si="171"/>
        <v>0</v>
      </c>
      <c r="K103" s="9">
        <f t="shared" si="172"/>
        <v>0</v>
      </c>
      <c r="L103" s="9">
        <v>1.8000000000000001E-4</v>
      </c>
      <c r="M103" s="9">
        <f t="shared" si="173"/>
        <v>7.2000000000000005E-4</v>
      </c>
      <c r="N103" s="68" t="s">
        <v>353</v>
      </c>
      <c r="Z103" s="9">
        <f t="shared" si="174"/>
        <v>0</v>
      </c>
      <c r="AB103" s="9">
        <f t="shared" si="175"/>
        <v>0</v>
      </c>
      <c r="AC103" s="9">
        <f t="shared" si="176"/>
        <v>0</v>
      </c>
      <c r="AD103" s="9">
        <f t="shared" si="177"/>
        <v>0</v>
      </c>
      <c r="AE103" s="9">
        <f t="shared" si="178"/>
        <v>0</v>
      </c>
      <c r="AF103" s="9">
        <f t="shared" si="179"/>
        <v>0</v>
      </c>
      <c r="AG103" s="9">
        <f t="shared" si="180"/>
        <v>0</v>
      </c>
      <c r="AH103" s="9">
        <f t="shared" si="181"/>
        <v>0</v>
      </c>
      <c r="AI103" s="12" t="s">
        <v>236</v>
      </c>
      <c r="AJ103" s="9">
        <f t="shared" si="182"/>
        <v>0</v>
      </c>
      <c r="AK103" s="9">
        <f t="shared" si="183"/>
        <v>0</v>
      </c>
      <c r="AL103" s="9">
        <f t="shared" si="184"/>
        <v>0</v>
      </c>
      <c r="AN103" s="9">
        <v>21</v>
      </c>
      <c r="AO103" s="9">
        <f>H103*0.341700555</f>
        <v>0</v>
      </c>
      <c r="AP103" s="9">
        <f>H103*(1-0.341700555)</f>
        <v>0</v>
      </c>
      <c r="AQ103" s="69" t="s">
        <v>330</v>
      </c>
      <c r="AV103" s="9">
        <f t="shared" si="185"/>
        <v>0</v>
      </c>
      <c r="AW103" s="9">
        <f t="shared" si="186"/>
        <v>0</v>
      </c>
      <c r="AX103" s="9">
        <f t="shared" si="187"/>
        <v>0</v>
      </c>
      <c r="AY103" s="69" t="s">
        <v>359</v>
      </c>
      <c r="AZ103" s="69" t="s">
        <v>357</v>
      </c>
      <c r="BA103" s="12" t="s">
        <v>322</v>
      </c>
      <c r="BC103" s="9">
        <f t="shared" si="188"/>
        <v>0</v>
      </c>
      <c r="BD103" s="9">
        <f t="shared" si="189"/>
        <v>0</v>
      </c>
      <c r="BE103" s="9">
        <v>0</v>
      </c>
      <c r="BF103" s="9">
        <f t="shared" si="190"/>
        <v>7.2000000000000005E-4</v>
      </c>
      <c r="BH103" s="9">
        <f t="shared" si="191"/>
        <v>0</v>
      </c>
      <c r="BI103" s="9">
        <f t="shared" si="192"/>
        <v>0</v>
      </c>
      <c r="BJ103" s="9">
        <f t="shared" si="193"/>
        <v>0</v>
      </c>
      <c r="BK103" s="69" t="s">
        <v>26</v>
      </c>
      <c r="BL103" s="9">
        <v>722</v>
      </c>
      <c r="BW103" s="9">
        <v>21</v>
      </c>
      <c r="BX103" s="3" t="s">
        <v>207</v>
      </c>
    </row>
    <row r="104" spans="1:76" ht="14.6" x14ac:dyDescent="0.4">
      <c r="A104" s="1">
        <v>73</v>
      </c>
      <c r="B104" s="2" t="s">
        <v>236</v>
      </c>
      <c r="C104" s="2" t="s">
        <v>216</v>
      </c>
      <c r="D104" s="184" t="s">
        <v>217</v>
      </c>
      <c r="E104" s="185"/>
      <c r="F104" s="2" t="s">
        <v>51</v>
      </c>
      <c r="G104" s="9">
        <v>2</v>
      </c>
      <c r="H104" s="9"/>
      <c r="I104" s="9">
        <f t="shared" si="170"/>
        <v>0</v>
      </c>
      <c r="J104" s="9">
        <f t="shared" si="171"/>
        <v>0</v>
      </c>
      <c r="K104" s="9">
        <f t="shared" si="172"/>
        <v>0</v>
      </c>
      <c r="L104" s="9">
        <v>0</v>
      </c>
      <c r="M104" s="9">
        <f t="shared" si="173"/>
        <v>0</v>
      </c>
      <c r="N104" s="68" t="s">
        <v>353</v>
      </c>
      <c r="Z104" s="9">
        <f t="shared" si="174"/>
        <v>0</v>
      </c>
      <c r="AB104" s="9">
        <f t="shared" si="175"/>
        <v>0</v>
      </c>
      <c r="AC104" s="9">
        <f t="shared" si="176"/>
        <v>0</v>
      </c>
      <c r="AD104" s="9">
        <f t="shared" si="177"/>
        <v>0</v>
      </c>
      <c r="AE104" s="9">
        <f t="shared" si="178"/>
        <v>0</v>
      </c>
      <c r="AF104" s="9">
        <f t="shared" si="179"/>
        <v>0</v>
      </c>
      <c r="AG104" s="9">
        <f t="shared" si="180"/>
        <v>0</v>
      </c>
      <c r="AH104" s="9">
        <f t="shared" si="181"/>
        <v>0</v>
      </c>
      <c r="AI104" s="12" t="s">
        <v>236</v>
      </c>
      <c r="AJ104" s="9">
        <f t="shared" si="182"/>
        <v>0</v>
      </c>
      <c r="AK104" s="9">
        <f t="shared" si="183"/>
        <v>0</v>
      </c>
      <c r="AL104" s="9">
        <f t="shared" si="184"/>
        <v>0</v>
      </c>
      <c r="AN104" s="9">
        <v>21</v>
      </c>
      <c r="AO104" s="9">
        <f>H104*0</f>
        <v>0</v>
      </c>
      <c r="AP104" s="9">
        <f>H104*(1-0)</f>
        <v>0</v>
      </c>
      <c r="AQ104" s="69" t="s">
        <v>330</v>
      </c>
      <c r="AV104" s="9">
        <f t="shared" si="185"/>
        <v>0</v>
      </c>
      <c r="AW104" s="9">
        <f t="shared" si="186"/>
        <v>0</v>
      </c>
      <c r="AX104" s="9">
        <f t="shared" si="187"/>
        <v>0</v>
      </c>
      <c r="AY104" s="69" t="s">
        <v>359</v>
      </c>
      <c r="AZ104" s="69" t="s">
        <v>357</v>
      </c>
      <c r="BA104" s="12" t="s">
        <v>322</v>
      </c>
      <c r="BC104" s="9">
        <f t="shared" si="188"/>
        <v>0</v>
      </c>
      <c r="BD104" s="9">
        <f t="shared" si="189"/>
        <v>0</v>
      </c>
      <c r="BE104" s="9">
        <v>0</v>
      </c>
      <c r="BF104" s="9">
        <f t="shared" si="190"/>
        <v>0</v>
      </c>
      <c r="BH104" s="9">
        <f t="shared" si="191"/>
        <v>0</v>
      </c>
      <c r="BI104" s="9">
        <f t="shared" si="192"/>
        <v>0</v>
      </c>
      <c r="BJ104" s="9">
        <f t="shared" si="193"/>
        <v>0</v>
      </c>
      <c r="BK104" s="69" t="s">
        <v>26</v>
      </c>
      <c r="BL104" s="9">
        <v>722</v>
      </c>
      <c r="BW104" s="9">
        <v>21</v>
      </c>
      <c r="BX104" s="3" t="s">
        <v>209</v>
      </c>
    </row>
    <row r="105" spans="1:76" ht="14.6" x14ac:dyDescent="0.4">
      <c r="A105" s="1">
        <v>74</v>
      </c>
      <c r="B105" s="2" t="s">
        <v>236</v>
      </c>
      <c r="C105" s="2" t="s">
        <v>218</v>
      </c>
      <c r="D105" s="184" t="s">
        <v>219</v>
      </c>
      <c r="E105" s="185"/>
      <c r="F105" s="2" t="s">
        <v>51</v>
      </c>
      <c r="G105" s="9">
        <v>2</v>
      </c>
      <c r="H105" s="9"/>
      <c r="I105" s="9">
        <f t="shared" si="170"/>
        <v>0</v>
      </c>
      <c r="J105" s="9">
        <f t="shared" si="171"/>
        <v>0</v>
      </c>
      <c r="K105" s="9">
        <f t="shared" si="172"/>
        <v>0</v>
      </c>
      <c r="L105" s="9">
        <v>1E-4</v>
      </c>
      <c r="M105" s="9">
        <f t="shared" si="173"/>
        <v>2.0000000000000001E-4</v>
      </c>
      <c r="N105" s="68" t="s">
        <v>353</v>
      </c>
      <c r="Z105" s="9">
        <f t="shared" si="174"/>
        <v>0</v>
      </c>
      <c r="AB105" s="9">
        <f t="shared" si="175"/>
        <v>0</v>
      </c>
      <c r="AC105" s="9">
        <f t="shared" si="176"/>
        <v>0</v>
      </c>
      <c r="AD105" s="9">
        <f t="shared" si="177"/>
        <v>0</v>
      </c>
      <c r="AE105" s="9">
        <f t="shared" si="178"/>
        <v>0</v>
      </c>
      <c r="AF105" s="9">
        <f t="shared" si="179"/>
        <v>0</v>
      </c>
      <c r="AG105" s="9">
        <f t="shared" si="180"/>
        <v>0</v>
      </c>
      <c r="AH105" s="9">
        <f t="shared" si="181"/>
        <v>0</v>
      </c>
      <c r="AI105" s="12" t="s">
        <v>236</v>
      </c>
      <c r="AJ105" s="9">
        <f t="shared" si="182"/>
        <v>0</v>
      </c>
      <c r="AK105" s="9">
        <f t="shared" si="183"/>
        <v>0</v>
      </c>
      <c r="AL105" s="9">
        <f t="shared" si="184"/>
        <v>0</v>
      </c>
      <c r="AN105" s="9">
        <v>21</v>
      </c>
      <c r="AO105" s="9">
        <f>H105*0.538901099</f>
        <v>0</v>
      </c>
      <c r="AP105" s="9">
        <f>H105*(1-0.538901099)</f>
        <v>0</v>
      </c>
      <c r="AQ105" s="69" t="s">
        <v>330</v>
      </c>
      <c r="AV105" s="9">
        <f t="shared" si="185"/>
        <v>0</v>
      </c>
      <c r="AW105" s="9">
        <f t="shared" si="186"/>
        <v>0</v>
      </c>
      <c r="AX105" s="9">
        <f t="shared" si="187"/>
        <v>0</v>
      </c>
      <c r="AY105" s="69" t="s">
        <v>359</v>
      </c>
      <c r="AZ105" s="69" t="s">
        <v>357</v>
      </c>
      <c r="BA105" s="12" t="s">
        <v>322</v>
      </c>
      <c r="BC105" s="9">
        <f t="shared" si="188"/>
        <v>0</v>
      </c>
      <c r="BD105" s="9">
        <f t="shared" si="189"/>
        <v>0</v>
      </c>
      <c r="BE105" s="9">
        <v>0</v>
      </c>
      <c r="BF105" s="9">
        <f t="shared" si="190"/>
        <v>2.0000000000000001E-4</v>
      </c>
      <c r="BH105" s="9">
        <f t="shared" si="191"/>
        <v>0</v>
      </c>
      <c r="BI105" s="9">
        <f t="shared" si="192"/>
        <v>0</v>
      </c>
      <c r="BJ105" s="9">
        <f t="shared" si="193"/>
        <v>0</v>
      </c>
      <c r="BK105" s="69" t="s">
        <v>26</v>
      </c>
      <c r="BL105" s="9">
        <v>722</v>
      </c>
      <c r="BW105" s="9">
        <v>21</v>
      </c>
      <c r="BX105" s="3" t="s">
        <v>211</v>
      </c>
    </row>
    <row r="106" spans="1:76" ht="14.6" x14ac:dyDescent="0.4">
      <c r="A106" s="1">
        <v>75</v>
      </c>
      <c r="B106" s="2" t="s">
        <v>236</v>
      </c>
      <c r="C106" s="2" t="s">
        <v>220</v>
      </c>
      <c r="D106" s="184" t="s">
        <v>221</v>
      </c>
      <c r="E106" s="185"/>
      <c r="F106" s="2" t="s">
        <v>68</v>
      </c>
      <c r="G106" s="9">
        <v>27.8</v>
      </c>
      <c r="H106" s="9"/>
      <c r="I106" s="9">
        <f t="shared" si="170"/>
        <v>0</v>
      </c>
      <c r="J106" s="9">
        <f t="shared" si="171"/>
        <v>0</v>
      </c>
      <c r="K106" s="9">
        <f t="shared" si="172"/>
        <v>0</v>
      </c>
      <c r="L106" s="9">
        <v>0</v>
      </c>
      <c r="M106" s="9">
        <f t="shared" si="173"/>
        <v>0</v>
      </c>
      <c r="N106" s="68" t="s">
        <v>353</v>
      </c>
      <c r="Z106" s="9">
        <f t="shared" si="174"/>
        <v>0</v>
      </c>
      <c r="AB106" s="9">
        <f t="shared" si="175"/>
        <v>0</v>
      </c>
      <c r="AC106" s="9">
        <f t="shared" si="176"/>
        <v>0</v>
      </c>
      <c r="AD106" s="9">
        <f t="shared" si="177"/>
        <v>0</v>
      </c>
      <c r="AE106" s="9">
        <f t="shared" si="178"/>
        <v>0</v>
      </c>
      <c r="AF106" s="9">
        <f t="shared" si="179"/>
        <v>0</v>
      </c>
      <c r="AG106" s="9">
        <f t="shared" si="180"/>
        <v>0</v>
      </c>
      <c r="AH106" s="9">
        <f t="shared" si="181"/>
        <v>0</v>
      </c>
      <c r="AI106" s="12" t="s">
        <v>236</v>
      </c>
      <c r="AJ106" s="9">
        <f t="shared" si="182"/>
        <v>0</v>
      </c>
      <c r="AK106" s="9">
        <f t="shared" si="183"/>
        <v>0</v>
      </c>
      <c r="AL106" s="9">
        <f t="shared" si="184"/>
        <v>0</v>
      </c>
      <c r="AN106" s="9">
        <v>21</v>
      </c>
      <c r="AO106" s="9">
        <f>H106*0.014207836</f>
        <v>0</v>
      </c>
      <c r="AP106" s="9">
        <f>H106*(1-0.014207836)</f>
        <v>0</v>
      </c>
      <c r="AQ106" s="69" t="s">
        <v>330</v>
      </c>
      <c r="AV106" s="9">
        <f t="shared" si="185"/>
        <v>0</v>
      </c>
      <c r="AW106" s="9">
        <f t="shared" si="186"/>
        <v>0</v>
      </c>
      <c r="AX106" s="9">
        <f t="shared" si="187"/>
        <v>0</v>
      </c>
      <c r="AY106" s="69" t="s">
        <v>359</v>
      </c>
      <c r="AZ106" s="69" t="s">
        <v>357</v>
      </c>
      <c r="BA106" s="12" t="s">
        <v>322</v>
      </c>
      <c r="BC106" s="9">
        <f t="shared" si="188"/>
        <v>0</v>
      </c>
      <c r="BD106" s="9">
        <f t="shared" si="189"/>
        <v>0</v>
      </c>
      <c r="BE106" s="9">
        <v>0</v>
      </c>
      <c r="BF106" s="9">
        <f t="shared" si="190"/>
        <v>0</v>
      </c>
      <c r="BH106" s="9">
        <f t="shared" si="191"/>
        <v>0</v>
      </c>
      <c r="BI106" s="9">
        <f t="shared" si="192"/>
        <v>0</v>
      </c>
      <c r="BJ106" s="9">
        <f t="shared" si="193"/>
        <v>0</v>
      </c>
      <c r="BK106" s="69" t="s">
        <v>26</v>
      </c>
      <c r="BL106" s="9">
        <v>722</v>
      </c>
      <c r="BW106" s="9">
        <v>21</v>
      </c>
      <c r="BX106" s="3" t="s">
        <v>213</v>
      </c>
    </row>
    <row r="107" spans="1:76" ht="14.6" x14ac:dyDescent="0.4">
      <c r="A107" s="1">
        <v>76</v>
      </c>
      <c r="B107" s="2" t="s">
        <v>236</v>
      </c>
      <c r="C107" s="2" t="s">
        <v>222</v>
      </c>
      <c r="D107" s="184" t="s">
        <v>223</v>
      </c>
      <c r="E107" s="185"/>
      <c r="F107" s="2" t="s">
        <v>160</v>
      </c>
      <c r="G107" s="9">
        <v>0.32</v>
      </c>
      <c r="H107" s="9"/>
      <c r="I107" s="9">
        <f t="shared" si="170"/>
        <v>0</v>
      </c>
      <c r="J107" s="9">
        <f t="shared" si="171"/>
        <v>0</v>
      </c>
      <c r="K107" s="9">
        <f>ROUND(G107*H107,0)</f>
        <v>0</v>
      </c>
      <c r="L107" s="9">
        <v>0</v>
      </c>
      <c r="M107" s="9">
        <f t="shared" si="173"/>
        <v>0</v>
      </c>
      <c r="N107" s="68" t="s">
        <v>319</v>
      </c>
      <c r="Z107" s="9">
        <f t="shared" si="174"/>
        <v>0</v>
      </c>
      <c r="AB107" s="9">
        <f t="shared" si="175"/>
        <v>0</v>
      </c>
      <c r="AC107" s="9">
        <f t="shared" si="176"/>
        <v>0</v>
      </c>
      <c r="AD107" s="9">
        <f t="shared" si="177"/>
        <v>0</v>
      </c>
      <c r="AE107" s="9">
        <f t="shared" si="178"/>
        <v>0</v>
      </c>
      <c r="AF107" s="9">
        <f t="shared" si="179"/>
        <v>0</v>
      </c>
      <c r="AG107" s="9">
        <f t="shared" si="180"/>
        <v>0</v>
      </c>
      <c r="AH107" s="9">
        <f t="shared" si="181"/>
        <v>0</v>
      </c>
      <c r="AI107" s="12" t="s">
        <v>236</v>
      </c>
      <c r="AJ107" s="9">
        <f t="shared" si="182"/>
        <v>0</v>
      </c>
      <c r="AK107" s="9">
        <f t="shared" si="183"/>
        <v>0</v>
      </c>
      <c r="AL107" s="9">
        <f t="shared" si="184"/>
        <v>0</v>
      </c>
      <c r="AN107" s="9">
        <v>21</v>
      </c>
      <c r="AO107" s="9">
        <f>H107*0</f>
        <v>0</v>
      </c>
      <c r="AP107" s="9">
        <f>H107*(1-0)</f>
        <v>0</v>
      </c>
      <c r="AQ107" s="69" t="s">
        <v>328</v>
      </c>
      <c r="AV107" s="9">
        <f t="shared" si="185"/>
        <v>0</v>
      </c>
      <c r="AW107" s="9">
        <f t="shared" si="186"/>
        <v>0</v>
      </c>
      <c r="AX107" s="9">
        <f t="shared" si="187"/>
        <v>0</v>
      </c>
      <c r="AY107" s="69" t="s">
        <v>359</v>
      </c>
      <c r="AZ107" s="69" t="s">
        <v>357</v>
      </c>
      <c r="BA107" s="12" t="s">
        <v>322</v>
      </c>
      <c r="BC107" s="9">
        <f t="shared" si="188"/>
        <v>0</v>
      </c>
      <c r="BD107" s="9">
        <f t="shared" si="189"/>
        <v>0</v>
      </c>
      <c r="BE107" s="9">
        <v>0</v>
      </c>
      <c r="BF107" s="9">
        <f t="shared" si="190"/>
        <v>0</v>
      </c>
      <c r="BH107" s="9">
        <f t="shared" si="191"/>
        <v>0</v>
      </c>
      <c r="BI107" s="9">
        <f t="shared" si="192"/>
        <v>0</v>
      </c>
      <c r="BJ107" s="9">
        <f t="shared" si="193"/>
        <v>0</v>
      </c>
      <c r="BK107" s="69" t="s">
        <v>26</v>
      </c>
      <c r="BL107" s="9">
        <v>722</v>
      </c>
      <c r="BW107" s="9">
        <v>21</v>
      </c>
      <c r="BX107" s="3" t="s">
        <v>215</v>
      </c>
    </row>
    <row r="108" spans="1:76" ht="14.6" x14ac:dyDescent="0.4">
      <c r="A108" s="70" t="s">
        <v>236</v>
      </c>
      <c r="B108" s="11" t="s">
        <v>236</v>
      </c>
      <c r="C108" s="11" t="s">
        <v>224</v>
      </c>
      <c r="D108" s="240" t="s">
        <v>225</v>
      </c>
      <c r="E108" s="241"/>
      <c r="F108" s="71" t="s">
        <v>20</v>
      </c>
      <c r="G108" s="71" t="s">
        <v>20</v>
      </c>
      <c r="H108" s="71" t="s">
        <v>20</v>
      </c>
      <c r="I108" s="13">
        <f>ROUND(SUM(I109:I109),0)</f>
        <v>0</v>
      </c>
      <c r="J108" s="13">
        <f>ROUND(SUM(J109:J109),0)</f>
        <v>0</v>
      </c>
      <c r="K108" s="13">
        <f>ROUND(SUM(K109:K109),0)</f>
        <v>0</v>
      </c>
      <c r="L108" s="12" t="s">
        <v>236</v>
      </c>
      <c r="M108" s="13">
        <f>SUM(M109:M109)</f>
        <v>0</v>
      </c>
      <c r="N108" s="72" t="s">
        <v>236</v>
      </c>
      <c r="AI108" s="12" t="s">
        <v>236</v>
      </c>
      <c r="AS108" s="13">
        <f>SUM(AJ109:AJ109)</f>
        <v>0</v>
      </c>
      <c r="AT108" s="13">
        <f>SUM(AK109:AK109)</f>
        <v>0</v>
      </c>
      <c r="AU108" s="13">
        <f>SUM(AL109:AL109)</f>
        <v>0</v>
      </c>
      <c r="BW108" s="9">
        <v>21</v>
      </c>
      <c r="BX108" s="3" t="s">
        <v>217</v>
      </c>
    </row>
    <row r="109" spans="1:76" ht="14.6" x14ac:dyDescent="0.4">
      <c r="A109" s="4">
        <v>77</v>
      </c>
      <c r="B109" s="5" t="s">
        <v>236</v>
      </c>
      <c r="C109" s="5" t="s">
        <v>226</v>
      </c>
      <c r="D109" s="242" t="s">
        <v>227</v>
      </c>
      <c r="E109" s="221"/>
      <c r="F109" s="5" t="s">
        <v>155</v>
      </c>
      <c r="G109" s="14">
        <v>1</v>
      </c>
      <c r="H109" s="14">
        <f>' VZT '!J57</f>
        <v>0</v>
      </c>
      <c r="I109" s="14">
        <f>ROUND(G109*AO109,2)</f>
        <v>0</v>
      </c>
      <c r="J109" s="14">
        <f>' VZT '!I56</f>
        <v>0</v>
      </c>
      <c r="K109" s="14">
        <f>ROUND(G109*H109,0)</f>
        <v>0</v>
      </c>
      <c r="L109" s="14">
        <v>0</v>
      </c>
      <c r="M109" s="14">
        <f>G109*L109</f>
        <v>0</v>
      </c>
      <c r="N109" s="73" t="s">
        <v>360</v>
      </c>
      <c r="Z109" s="9">
        <f>ROUND(IF(AQ109="5",BJ109,0),2)</f>
        <v>0</v>
      </c>
      <c r="AB109" s="9">
        <f>ROUND(IF(AQ109="1",BH109,0),2)</f>
        <v>0</v>
      </c>
      <c r="AC109" s="9">
        <f>ROUND(IF(AQ109="1",BI109,0),2)</f>
        <v>0</v>
      </c>
      <c r="AD109" s="9">
        <f>ROUND(IF(AQ109="7",BH109,0),2)</f>
        <v>0</v>
      </c>
      <c r="AE109" s="9">
        <f>ROUND(IF(AQ109="7",BI109,0),2)</f>
        <v>0</v>
      </c>
      <c r="AF109" s="9">
        <f>ROUND(IF(AQ109="2",BH109,0),2)</f>
        <v>0</v>
      </c>
      <c r="AG109" s="9">
        <f>ROUND(IF(AQ109="2",BI109,0),2)</f>
        <v>0</v>
      </c>
      <c r="AH109" s="9">
        <f>ROUND(IF(AQ109="0",BJ109,0),2)</f>
        <v>0</v>
      </c>
      <c r="AI109" s="12" t="s">
        <v>236</v>
      </c>
      <c r="AJ109" s="9">
        <f>IF(AN109=0,K109,0)</f>
        <v>0</v>
      </c>
      <c r="AK109" s="9">
        <f>IF(AN109=12,K109,0)</f>
        <v>0</v>
      </c>
      <c r="AL109" s="9">
        <f>IF(AN109=21,K109,0)</f>
        <v>0</v>
      </c>
      <c r="AN109" s="9">
        <v>21</v>
      </c>
      <c r="AO109" s="9">
        <f>H109*0</f>
        <v>0</v>
      </c>
      <c r="AP109" s="9">
        <f>H109*(1-0)</f>
        <v>0</v>
      </c>
      <c r="AQ109" s="69" t="s">
        <v>330</v>
      </c>
      <c r="AV109" s="9">
        <f>ROUND(AW109+AX109,2)</f>
        <v>0</v>
      </c>
      <c r="AW109" s="9">
        <f>ROUND(G109*AO109,2)</f>
        <v>0</v>
      </c>
      <c r="AX109" s="9">
        <f>ROUND(G109*AP109,2)</f>
        <v>0</v>
      </c>
      <c r="AY109" s="69" t="s">
        <v>361</v>
      </c>
      <c r="AZ109" s="69" t="s">
        <v>357</v>
      </c>
      <c r="BA109" s="12" t="s">
        <v>322</v>
      </c>
      <c r="BC109" s="9">
        <f>AW109+AX109</f>
        <v>0</v>
      </c>
      <c r="BD109" s="9">
        <f>H109/(100-BE109)*100</f>
        <v>0</v>
      </c>
      <c r="BE109" s="9">
        <v>0</v>
      </c>
      <c r="BF109" s="9">
        <f>M109</f>
        <v>0</v>
      </c>
      <c r="BH109" s="9">
        <f>G109*AO109</f>
        <v>0</v>
      </c>
      <c r="BI109" s="9">
        <f>G109*AP109</f>
        <v>0</v>
      </c>
      <c r="BJ109" s="9">
        <f>G109*H109</f>
        <v>0</v>
      </c>
      <c r="BK109" s="69" t="s">
        <v>26</v>
      </c>
      <c r="BL109" s="9">
        <v>728</v>
      </c>
      <c r="BW109" s="9">
        <v>21</v>
      </c>
      <c r="BX109" s="3" t="s">
        <v>219</v>
      </c>
    </row>
    <row r="110" spans="1:76" ht="14.6" x14ac:dyDescent="0.4">
      <c r="I110" s="243" t="s">
        <v>228</v>
      </c>
      <c r="J110" s="243"/>
      <c r="K110" s="27">
        <f>ROUND(SUM(K12,K14,K22,K24,K27,K35,K44,K47,K52,K60,K62,K73,K75,K84,K91,K96,K108),0)</f>
        <v>0</v>
      </c>
      <c r="BW110" s="9">
        <v>21</v>
      </c>
      <c r="BX110" s="3" t="s">
        <v>221</v>
      </c>
    </row>
    <row r="111" spans="1:76" ht="14.6" x14ac:dyDescent="0.4">
      <c r="A111" s="74" t="s">
        <v>280</v>
      </c>
      <c r="BW111" s="9">
        <v>21</v>
      </c>
      <c r="BX111" s="3" t="s">
        <v>223</v>
      </c>
    </row>
    <row r="112" spans="1:76" ht="14.6" x14ac:dyDescent="0.4">
      <c r="A112" s="184" t="s">
        <v>236</v>
      </c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</row>
    <row r="113" spans="75:76" ht="14.6" x14ac:dyDescent="0.4">
      <c r="BW113" s="9">
        <v>21</v>
      </c>
      <c r="BX113" s="3" t="s">
        <v>227</v>
      </c>
    </row>
    <row r="114" spans="75:76" ht="14.6" x14ac:dyDescent="0.4"/>
    <row r="115" spans="75:76" ht="14.6" x14ac:dyDescent="0.4"/>
    <row r="116" spans="75:76" ht="12.75" customHeight="1" x14ac:dyDescent="0.4"/>
  </sheetData>
  <mergeCells count="128">
    <mergeCell ref="A1:N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N3"/>
    <mergeCell ref="J4:N5"/>
    <mergeCell ref="J6:N7"/>
    <mergeCell ref="J8:N9"/>
    <mergeCell ref="D8:E9"/>
    <mergeCell ref="H2:H3"/>
    <mergeCell ref="H4:H5"/>
    <mergeCell ref="D25:E25"/>
    <mergeCell ref="D10:E10"/>
    <mergeCell ref="D14:E14"/>
    <mergeCell ref="D15:E15"/>
    <mergeCell ref="D16:E16"/>
    <mergeCell ref="D11:E11"/>
    <mergeCell ref="D13:E13"/>
    <mergeCell ref="H6:H7"/>
    <mergeCell ref="I10:K10"/>
    <mergeCell ref="L10:M10"/>
    <mergeCell ref="D12:E12"/>
    <mergeCell ref="H8:H9"/>
    <mergeCell ref="D26:E26"/>
    <mergeCell ref="D27:E27"/>
    <mergeCell ref="D19:E19"/>
    <mergeCell ref="D20:E20"/>
    <mergeCell ref="D21:E21"/>
    <mergeCell ref="D22:E22"/>
    <mergeCell ref="D23:E23"/>
    <mergeCell ref="D17:E17"/>
    <mergeCell ref="D18:E18"/>
    <mergeCell ref="D24:E24"/>
    <mergeCell ref="D34:E34"/>
    <mergeCell ref="D35:E35"/>
    <mergeCell ref="D36:E36"/>
    <mergeCell ref="D37:E37"/>
    <mergeCell ref="D38:E38"/>
    <mergeCell ref="D28:E28"/>
    <mergeCell ref="D29:E29"/>
    <mergeCell ref="D30:E30"/>
    <mergeCell ref="D31:E31"/>
    <mergeCell ref="D32:E32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67:E67"/>
    <mergeCell ref="D68:E68"/>
    <mergeCell ref="D69:E69"/>
    <mergeCell ref="D70:E70"/>
    <mergeCell ref="D64:E64"/>
    <mergeCell ref="D65:E65"/>
    <mergeCell ref="D66:E66"/>
    <mergeCell ref="D59:E59"/>
    <mergeCell ref="D60:E60"/>
    <mergeCell ref="D61:E61"/>
    <mergeCell ref="D62:E62"/>
    <mergeCell ref="D63:E63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86:E86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96:E96"/>
    <mergeCell ref="D97:E97"/>
    <mergeCell ref="D98:E98"/>
    <mergeCell ref="D99:E99"/>
    <mergeCell ref="D100:E100"/>
    <mergeCell ref="D91:E91"/>
    <mergeCell ref="D92:E92"/>
    <mergeCell ref="D93:E93"/>
    <mergeCell ref="D94:E94"/>
    <mergeCell ref="D95:E95"/>
    <mergeCell ref="A112:N112"/>
    <mergeCell ref="D106:E106"/>
    <mergeCell ref="D107:E107"/>
    <mergeCell ref="D108:E108"/>
    <mergeCell ref="D109:E109"/>
    <mergeCell ref="I110:J110"/>
    <mergeCell ref="D101:E101"/>
    <mergeCell ref="D102:E102"/>
    <mergeCell ref="D103:E103"/>
    <mergeCell ref="D104:E104"/>
    <mergeCell ref="D105:E105"/>
  </mergeCells>
  <phoneticPr fontId="21" type="noConversion"/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F4D4-4CAC-4F3C-9EC6-B3281B560A01}">
  <dimension ref="A1:M57"/>
  <sheetViews>
    <sheetView topLeftCell="C18" workbookViewId="0">
      <selection activeCell="H81" sqref="H81"/>
    </sheetView>
  </sheetViews>
  <sheetFormatPr defaultColWidth="9.23046875" defaultRowHeight="14.6" x14ac:dyDescent="0.4"/>
  <cols>
    <col min="1" max="1" width="4" style="75" customWidth="1"/>
    <col min="2" max="2" width="7.53515625" style="75" customWidth="1"/>
    <col min="3" max="3" width="17.84375" style="75" customWidth="1"/>
    <col min="4" max="4" width="90.53515625" style="75" customWidth="1"/>
    <col min="5" max="5" width="8" style="75" customWidth="1"/>
    <col min="6" max="6" width="12.84375" style="75" customWidth="1"/>
    <col min="7" max="7" width="12" style="75" customWidth="1"/>
    <col min="8" max="10" width="15.69140625" style="75" customWidth="1"/>
    <col min="11" max="11" width="16.23046875" style="75" customWidth="1"/>
    <col min="12" max="12" width="11.69140625" style="75" customWidth="1"/>
    <col min="13" max="13" width="14.69140625" style="75" customWidth="1"/>
    <col min="14" max="16384" width="9.23046875" style="75"/>
  </cols>
  <sheetData>
    <row r="1" spans="1:13" ht="22.3" x14ac:dyDescent="0.4">
      <c r="A1" s="255" t="s">
        <v>225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15" customHeight="1" x14ac:dyDescent="0.4">
      <c r="A2" s="256" t="s">
        <v>1</v>
      </c>
      <c r="B2" s="257"/>
      <c r="C2" s="257"/>
      <c r="D2" s="260" t="s">
        <v>475</v>
      </c>
      <c r="E2" s="257" t="s">
        <v>2</v>
      </c>
      <c r="F2" s="257"/>
      <c r="G2" s="257" t="s">
        <v>20</v>
      </c>
      <c r="H2" s="262" t="s">
        <v>3</v>
      </c>
      <c r="I2" s="257" t="s">
        <v>292</v>
      </c>
      <c r="J2" s="257"/>
      <c r="K2" s="257"/>
      <c r="L2" s="257"/>
      <c r="M2" s="263"/>
    </row>
    <row r="3" spans="1:13" ht="15" customHeight="1" x14ac:dyDescent="0.4">
      <c r="A3" s="258"/>
      <c r="B3" s="259"/>
      <c r="C3" s="259"/>
      <c r="D3" s="261"/>
      <c r="E3" s="259"/>
      <c r="F3" s="259"/>
      <c r="G3" s="259"/>
      <c r="H3" s="259"/>
      <c r="I3" s="259"/>
      <c r="J3" s="259"/>
      <c r="K3" s="259"/>
      <c r="L3" s="259"/>
      <c r="M3" s="264"/>
    </row>
    <row r="4" spans="1:13" ht="15" customHeight="1" x14ac:dyDescent="0.4">
      <c r="A4" s="265" t="s">
        <v>4</v>
      </c>
      <c r="B4" s="259"/>
      <c r="C4" s="259"/>
      <c r="D4" s="266" t="str">
        <f>'Stavební rozpočet'!D4:E5</f>
        <v>REKONSTRUKCE MÍSTNOSTI RD110</v>
      </c>
      <c r="E4" s="259" t="s">
        <v>5</v>
      </c>
      <c r="F4" s="259"/>
      <c r="G4" s="259" t="s">
        <v>20</v>
      </c>
      <c r="H4" s="266" t="s">
        <v>6</v>
      </c>
      <c r="I4" s="259" t="s">
        <v>292</v>
      </c>
      <c r="J4" s="259"/>
      <c r="K4" s="259"/>
      <c r="L4" s="259"/>
      <c r="M4" s="264"/>
    </row>
    <row r="5" spans="1:13" x14ac:dyDescent="0.4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4"/>
    </row>
    <row r="6" spans="1:13" ht="15" customHeight="1" x14ac:dyDescent="0.4">
      <c r="A6" s="265" t="s">
        <v>7</v>
      </c>
      <c r="B6" s="259"/>
      <c r="C6" s="259"/>
      <c r="D6" s="266" t="s">
        <v>461</v>
      </c>
      <c r="E6" s="259" t="s">
        <v>8</v>
      </c>
      <c r="F6" s="259"/>
      <c r="G6" s="259" t="s">
        <v>20</v>
      </c>
      <c r="H6" s="266" t="s">
        <v>9</v>
      </c>
      <c r="I6" s="259" t="s">
        <v>292</v>
      </c>
      <c r="J6" s="259"/>
      <c r="K6" s="259"/>
      <c r="L6" s="259"/>
      <c r="M6" s="264"/>
    </row>
    <row r="7" spans="1:13" x14ac:dyDescent="0.4">
      <c r="A7" s="258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64"/>
    </row>
    <row r="8" spans="1:13" ht="15" customHeight="1" x14ac:dyDescent="0.4">
      <c r="A8" s="265" t="s">
        <v>10</v>
      </c>
      <c r="B8" s="259"/>
      <c r="C8" s="259"/>
      <c r="D8" s="266" t="s">
        <v>20</v>
      </c>
      <c r="E8" s="259" t="s">
        <v>11</v>
      </c>
      <c r="F8" s="259"/>
      <c r="G8" s="259" t="s">
        <v>20</v>
      </c>
      <c r="H8" s="266" t="s">
        <v>12</v>
      </c>
      <c r="I8" s="259" t="s">
        <v>292</v>
      </c>
      <c r="J8" s="259"/>
      <c r="K8" s="259"/>
      <c r="L8" s="259"/>
      <c r="M8" s="264"/>
    </row>
    <row r="9" spans="1:13" ht="15" thickBot="1" x14ac:dyDescent="0.4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64"/>
    </row>
    <row r="10" spans="1:13" x14ac:dyDescent="0.4">
      <c r="A10" s="76" t="s">
        <v>13</v>
      </c>
      <c r="B10" s="77" t="s">
        <v>231</v>
      </c>
      <c r="C10" s="77" t="s">
        <v>462</v>
      </c>
      <c r="D10" s="78" t="s">
        <v>15</v>
      </c>
      <c r="E10" s="79" t="s">
        <v>16</v>
      </c>
      <c r="F10" s="79" t="s">
        <v>17</v>
      </c>
      <c r="G10" s="138" t="s">
        <v>295</v>
      </c>
      <c r="H10" s="269" t="s">
        <v>296</v>
      </c>
      <c r="I10" s="270"/>
      <c r="J10" s="271"/>
      <c r="K10" s="272" t="s">
        <v>463</v>
      </c>
      <c r="L10" s="272"/>
      <c r="M10" s="273"/>
    </row>
    <row r="11" spans="1:13" ht="15" thickBot="1" x14ac:dyDescent="0.45">
      <c r="A11" s="139" t="s">
        <v>20</v>
      </c>
      <c r="B11" s="137" t="s">
        <v>20</v>
      </c>
      <c r="C11" s="137" t="s">
        <v>20</v>
      </c>
      <c r="D11" s="140"/>
      <c r="E11" s="141" t="s">
        <v>20</v>
      </c>
      <c r="F11" s="137" t="s">
        <v>20</v>
      </c>
      <c r="G11" s="142" t="s">
        <v>301</v>
      </c>
      <c r="H11" s="143" t="s">
        <v>302</v>
      </c>
      <c r="I11" s="144" t="s">
        <v>253</v>
      </c>
      <c r="J11" s="142" t="s">
        <v>303</v>
      </c>
      <c r="K11" s="144" t="s">
        <v>300</v>
      </c>
      <c r="L11" s="274" t="s">
        <v>476</v>
      </c>
      <c r="M11" s="275"/>
    </row>
    <row r="12" spans="1:13" x14ac:dyDescent="0.4">
      <c r="A12" s="145"/>
      <c r="B12" s="146"/>
      <c r="C12" s="146"/>
      <c r="D12" s="147" t="s">
        <v>378</v>
      </c>
      <c r="E12" s="148"/>
      <c r="F12" s="146"/>
      <c r="G12" s="149"/>
      <c r="H12" s="150">
        <f>SUM(H13:H34)</f>
        <v>0</v>
      </c>
      <c r="I12" s="151">
        <f>SUM(I13:I34)</f>
        <v>0</v>
      </c>
      <c r="J12" s="152">
        <f>SUM(J13:J34)</f>
        <v>0</v>
      </c>
      <c r="K12" s="153"/>
      <c r="L12" s="153"/>
      <c r="M12" s="154"/>
    </row>
    <row r="13" spans="1:13" ht="24.9" x14ac:dyDescent="0.4">
      <c r="A13" s="93"/>
      <c r="B13" s="94"/>
      <c r="C13" s="95" t="s">
        <v>379</v>
      </c>
      <c r="D13" s="155" t="s">
        <v>380</v>
      </c>
      <c r="E13" s="97" t="s">
        <v>381</v>
      </c>
      <c r="F13" s="101">
        <v>1</v>
      </c>
      <c r="G13" s="99"/>
      <c r="H13" s="100">
        <f>F13*G13</f>
        <v>0</v>
      </c>
      <c r="I13" s="101"/>
      <c r="J13" s="99">
        <f>H13+I13</f>
        <v>0</v>
      </c>
      <c r="K13" s="156"/>
      <c r="L13" s="276"/>
      <c r="M13" s="277"/>
    </row>
    <row r="14" spans="1:13" x14ac:dyDescent="0.4">
      <c r="A14" s="103"/>
      <c r="B14" s="104"/>
      <c r="C14" s="105"/>
      <c r="D14" s="155" t="s">
        <v>382</v>
      </c>
      <c r="E14" s="157" t="s">
        <v>383</v>
      </c>
      <c r="F14" s="107">
        <v>1</v>
      </c>
      <c r="G14" s="158"/>
      <c r="H14" s="100">
        <f t="shared" ref="H14:H23" si="0">F14*G14</f>
        <v>0</v>
      </c>
      <c r="I14" s="107"/>
      <c r="J14" s="99">
        <f t="shared" ref="J14:J34" si="1">H14+I14</f>
        <v>0</v>
      </c>
      <c r="K14" s="159"/>
      <c r="L14" s="267"/>
      <c r="M14" s="268"/>
    </row>
    <row r="15" spans="1:13" ht="24.9" x14ac:dyDescent="0.4">
      <c r="A15" s="103"/>
      <c r="B15" s="104"/>
      <c r="C15" s="105" t="s">
        <v>384</v>
      </c>
      <c r="D15" s="155" t="s">
        <v>385</v>
      </c>
      <c r="E15" s="157" t="s">
        <v>381</v>
      </c>
      <c r="F15" s="107">
        <v>1</v>
      </c>
      <c r="G15" s="158"/>
      <c r="H15" s="100">
        <f t="shared" si="0"/>
        <v>0</v>
      </c>
      <c r="I15" s="107"/>
      <c r="J15" s="99">
        <f t="shared" si="1"/>
        <v>0</v>
      </c>
      <c r="K15" s="159"/>
      <c r="L15" s="267"/>
      <c r="M15" s="268"/>
    </row>
    <row r="16" spans="1:13" x14ac:dyDescent="0.4">
      <c r="A16" s="103"/>
      <c r="B16" s="104"/>
      <c r="C16" s="105"/>
      <c r="D16" s="155" t="s">
        <v>386</v>
      </c>
      <c r="E16" s="157" t="s">
        <v>383</v>
      </c>
      <c r="F16" s="107">
        <v>1</v>
      </c>
      <c r="G16" s="158"/>
      <c r="H16" s="100">
        <f t="shared" si="0"/>
        <v>0</v>
      </c>
      <c r="I16" s="107"/>
      <c r="J16" s="99">
        <f t="shared" si="1"/>
        <v>0</v>
      </c>
      <c r="K16" s="159"/>
      <c r="L16" s="267"/>
      <c r="M16" s="268"/>
    </row>
    <row r="17" spans="1:13" ht="25.75" x14ac:dyDescent="0.4">
      <c r="A17" s="103"/>
      <c r="B17" s="104"/>
      <c r="C17" s="105" t="s">
        <v>387</v>
      </c>
      <c r="D17" s="160" t="s">
        <v>388</v>
      </c>
      <c r="E17" s="157" t="s">
        <v>381</v>
      </c>
      <c r="F17" s="107">
        <v>1</v>
      </c>
      <c r="G17" s="158"/>
      <c r="H17" s="100">
        <f t="shared" si="0"/>
        <v>0</v>
      </c>
      <c r="I17" s="107"/>
      <c r="J17" s="99">
        <f t="shared" si="1"/>
        <v>0</v>
      </c>
      <c r="K17" s="159"/>
      <c r="L17" s="267"/>
      <c r="M17" s="268"/>
    </row>
    <row r="18" spans="1:13" x14ac:dyDescent="0.4">
      <c r="A18" s="103"/>
      <c r="B18" s="104"/>
      <c r="C18" s="105"/>
      <c r="D18" s="160" t="s">
        <v>389</v>
      </c>
      <c r="E18" s="157" t="s">
        <v>383</v>
      </c>
      <c r="F18" s="107">
        <v>1</v>
      </c>
      <c r="G18" s="158"/>
      <c r="H18" s="100">
        <f t="shared" si="0"/>
        <v>0</v>
      </c>
      <c r="I18" s="107"/>
      <c r="J18" s="99">
        <f t="shared" si="1"/>
        <v>0</v>
      </c>
      <c r="K18" s="159"/>
      <c r="L18" s="267"/>
      <c r="M18" s="268"/>
    </row>
    <row r="19" spans="1:13" x14ac:dyDescent="0.4">
      <c r="A19" s="103"/>
      <c r="B19" s="104"/>
      <c r="C19" s="105" t="s">
        <v>390</v>
      </c>
      <c r="D19" s="155" t="s">
        <v>391</v>
      </c>
      <c r="E19" s="157" t="s">
        <v>392</v>
      </c>
      <c r="F19" s="107">
        <v>2</v>
      </c>
      <c r="G19" s="158"/>
      <c r="H19" s="100">
        <f t="shared" si="0"/>
        <v>0</v>
      </c>
      <c r="I19" s="107"/>
      <c r="J19" s="99">
        <f t="shared" si="1"/>
        <v>0</v>
      </c>
      <c r="K19" s="159"/>
      <c r="L19" s="267"/>
      <c r="M19" s="268"/>
    </row>
    <row r="20" spans="1:13" x14ac:dyDescent="0.4">
      <c r="A20" s="103"/>
      <c r="B20" s="104"/>
      <c r="C20" s="105" t="s">
        <v>393</v>
      </c>
      <c r="D20" s="155" t="s">
        <v>394</v>
      </c>
      <c r="E20" s="157" t="s">
        <v>392</v>
      </c>
      <c r="F20" s="107">
        <v>2</v>
      </c>
      <c r="G20" s="158"/>
      <c r="H20" s="100">
        <f t="shared" si="0"/>
        <v>0</v>
      </c>
      <c r="I20" s="107"/>
      <c r="J20" s="99">
        <f t="shared" si="1"/>
        <v>0</v>
      </c>
      <c r="K20" s="159"/>
      <c r="L20" s="267"/>
      <c r="M20" s="268"/>
    </row>
    <row r="21" spans="1:13" x14ac:dyDescent="0.4">
      <c r="A21" s="103"/>
      <c r="B21" s="104"/>
      <c r="C21" s="105" t="s">
        <v>395</v>
      </c>
      <c r="D21" s="160" t="s">
        <v>396</v>
      </c>
      <c r="E21" s="157" t="s">
        <v>392</v>
      </c>
      <c r="F21" s="107">
        <v>2</v>
      </c>
      <c r="G21" s="158"/>
      <c r="H21" s="100">
        <f t="shared" si="0"/>
        <v>0</v>
      </c>
      <c r="I21" s="107"/>
      <c r="J21" s="99">
        <f t="shared" si="1"/>
        <v>0</v>
      </c>
      <c r="K21" s="159"/>
      <c r="L21" s="267"/>
      <c r="M21" s="268"/>
    </row>
    <row r="22" spans="1:13" x14ac:dyDescent="0.4">
      <c r="A22" s="103"/>
      <c r="B22" s="104"/>
      <c r="C22" s="105" t="s">
        <v>397</v>
      </c>
      <c r="D22" s="161" t="s">
        <v>398</v>
      </c>
      <c r="E22" s="157" t="s">
        <v>392</v>
      </c>
      <c r="F22" s="107">
        <v>34</v>
      </c>
      <c r="G22" s="158"/>
      <c r="H22" s="100">
        <f t="shared" si="0"/>
        <v>0</v>
      </c>
      <c r="I22" s="107"/>
      <c r="J22" s="99">
        <f t="shared" si="1"/>
        <v>0</v>
      </c>
      <c r="K22" s="159"/>
      <c r="L22" s="267"/>
      <c r="M22" s="268"/>
    </row>
    <row r="23" spans="1:13" x14ac:dyDescent="0.4">
      <c r="A23" s="103"/>
      <c r="B23" s="104"/>
      <c r="C23" s="105" t="s">
        <v>399</v>
      </c>
      <c r="D23" s="161" t="s">
        <v>400</v>
      </c>
      <c r="E23" s="157" t="s">
        <v>25</v>
      </c>
      <c r="F23" s="107">
        <v>15</v>
      </c>
      <c r="G23" s="158"/>
      <c r="H23" s="100">
        <f t="shared" si="0"/>
        <v>0</v>
      </c>
      <c r="I23" s="107"/>
      <c r="J23" s="99">
        <f t="shared" si="1"/>
        <v>0</v>
      </c>
      <c r="K23" s="159"/>
      <c r="L23" s="267"/>
      <c r="M23" s="268"/>
    </row>
    <row r="24" spans="1:13" x14ac:dyDescent="0.4">
      <c r="A24" s="103"/>
      <c r="B24" s="104"/>
      <c r="C24" s="105" t="s">
        <v>401</v>
      </c>
      <c r="D24" s="161" t="s">
        <v>402</v>
      </c>
      <c r="E24" s="157"/>
      <c r="F24" s="107"/>
      <c r="G24" s="158"/>
      <c r="H24" s="100">
        <v>0</v>
      </c>
      <c r="I24" s="107">
        <f>F24*G24</f>
        <v>0</v>
      </c>
      <c r="J24" s="99">
        <f t="shared" si="1"/>
        <v>0</v>
      </c>
      <c r="K24" s="159"/>
      <c r="L24" s="267"/>
      <c r="M24" s="268"/>
    </row>
    <row r="25" spans="1:13" x14ac:dyDescent="0.4">
      <c r="A25" s="103"/>
      <c r="B25" s="104"/>
      <c r="C25" s="105" t="s">
        <v>403</v>
      </c>
      <c r="D25" s="161" t="s">
        <v>404</v>
      </c>
      <c r="E25" s="157" t="s">
        <v>381</v>
      </c>
      <c r="F25" s="107">
        <v>1</v>
      </c>
      <c r="G25" s="158"/>
      <c r="H25" s="100">
        <f>G25</f>
        <v>0</v>
      </c>
      <c r="I25" s="107"/>
      <c r="J25" s="99">
        <f t="shared" si="1"/>
        <v>0</v>
      </c>
      <c r="K25" s="159"/>
      <c r="L25" s="267"/>
      <c r="M25" s="268"/>
    </row>
    <row r="26" spans="1:13" x14ac:dyDescent="0.4">
      <c r="A26" s="103"/>
      <c r="B26" s="104"/>
      <c r="C26" s="105" t="s">
        <v>405</v>
      </c>
      <c r="D26" s="155" t="s">
        <v>406</v>
      </c>
      <c r="E26" s="157" t="s">
        <v>383</v>
      </c>
      <c r="F26" s="107">
        <v>1</v>
      </c>
      <c r="G26" s="158"/>
      <c r="H26" s="100">
        <f>G26</f>
        <v>0</v>
      </c>
      <c r="I26" s="107"/>
      <c r="J26" s="99">
        <f t="shared" si="1"/>
        <v>0</v>
      </c>
      <c r="K26" s="159"/>
      <c r="L26" s="267"/>
      <c r="M26" s="268"/>
    </row>
    <row r="27" spans="1:13" x14ac:dyDescent="0.4">
      <c r="A27" s="103"/>
      <c r="B27" s="104"/>
      <c r="C27" s="105" t="s">
        <v>407</v>
      </c>
      <c r="D27" s="155" t="s">
        <v>495</v>
      </c>
      <c r="E27" s="157" t="s">
        <v>381</v>
      </c>
      <c r="F27" s="107">
        <v>1</v>
      </c>
      <c r="G27" s="158"/>
      <c r="H27" s="100">
        <f>G27</f>
        <v>0</v>
      </c>
      <c r="I27" s="107"/>
      <c r="J27" s="99">
        <f t="shared" si="1"/>
        <v>0</v>
      </c>
      <c r="K27" s="159"/>
      <c r="L27" s="267"/>
      <c r="M27" s="268"/>
    </row>
    <row r="28" spans="1:13" x14ac:dyDescent="0.4">
      <c r="A28" s="103"/>
      <c r="B28" s="104"/>
      <c r="C28" s="105" t="s">
        <v>408</v>
      </c>
      <c r="D28" s="155" t="s">
        <v>409</v>
      </c>
      <c r="E28" s="157" t="s">
        <v>381</v>
      </c>
      <c r="F28" s="107">
        <v>1</v>
      </c>
      <c r="G28" s="158"/>
      <c r="H28" s="100">
        <f t="shared" ref="H28:H33" si="2">F28*G28</f>
        <v>0</v>
      </c>
      <c r="I28" s="107"/>
      <c r="J28" s="99">
        <f t="shared" si="1"/>
        <v>0</v>
      </c>
      <c r="K28" s="159"/>
      <c r="L28" s="267"/>
      <c r="M28" s="268"/>
    </row>
    <row r="29" spans="1:13" x14ac:dyDescent="0.4">
      <c r="A29" s="103"/>
      <c r="B29" s="104"/>
      <c r="C29" s="105" t="s">
        <v>410</v>
      </c>
      <c r="D29" s="155" t="s">
        <v>411</v>
      </c>
      <c r="E29" s="157" t="s">
        <v>381</v>
      </c>
      <c r="F29" s="107">
        <v>1</v>
      </c>
      <c r="G29" s="158"/>
      <c r="H29" s="100">
        <f t="shared" si="2"/>
        <v>0</v>
      </c>
      <c r="I29" s="107"/>
      <c r="J29" s="99">
        <f t="shared" si="1"/>
        <v>0</v>
      </c>
      <c r="K29" s="159"/>
      <c r="L29" s="267"/>
      <c r="M29" s="268"/>
    </row>
    <row r="30" spans="1:13" x14ac:dyDescent="0.4">
      <c r="A30" s="103"/>
      <c r="B30" s="104"/>
      <c r="C30" s="105" t="s">
        <v>412</v>
      </c>
      <c r="D30" s="155" t="s">
        <v>413</v>
      </c>
      <c r="E30" s="157" t="s">
        <v>381</v>
      </c>
      <c r="F30" s="107">
        <v>1</v>
      </c>
      <c r="G30" s="158"/>
      <c r="H30" s="100">
        <f t="shared" si="2"/>
        <v>0</v>
      </c>
      <c r="I30" s="107"/>
      <c r="J30" s="99">
        <f t="shared" si="1"/>
        <v>0</v>
      </c>
      <c r="K30" s="159"/>
      <c r="L30" s="267"/>
      <c r="M30" s="268"/>
    </row>
    <row r="31" spans="1:13" x14ac:dyDescent="0.4">
      <c r="A31" s="103"/>
      <c r="B31" s="104"/>
      <c r="C31" s="105" t="s">
        <v>414</v>
      </c>
      <c r="D31" s="160" t="s">
        <v>415</v>
      </c>
      <c r="E31" s="157" t="s">
        <v>383</v>
      </c>
      <c r="F31" s="107">
        <v>4</v>
      </c>
      <c r="G31" s="158"/>
      <c r="H31" s="100">
        <f t="shared" si="2"/>
        <v>0</v>
      </c>
      <c r="I31" s="107"/>
      <c r="J31" s="99">
        <f t="shared" si="1"/>
        <v>0</v>
      </c>
      <c r="K31" s="159"/>
      <c r="L31" s="267"/>
      <c r="M31" s="268"/>
    </row>
    <row r="32" spans="1:13" x14ac:dyDescent="0.4">
      <c r="A32" s="103"/>
      <c r="B32" s="104"/>
      <c r="C32" s="105" t="s">
        <v>416</v>
      </c>
      <c r="D32" s="161" t="s">
        <v>417</v>
      </c>
      <c r="E32" s="157" t="s">
        <v>392</v>
      </c>
      <c r="F32" s="107">
        <v>12</v>
      </c>
      <c r="G32" s="158"/>
      <c r="H32" s="100">
        <f t="shared" si="2"/>
        <v>0</v>
      </c>
      <c r="I32" s="107"/>
      <c r="J32" s="99">
        <f t="shared" si="1"/>
        <v>0</v>
      </c>
      <c r="K32" s="159"/>
      <c r="L32" s="267"/>
      <c r="M32" s="268"/>
    </row>
    <row r="33" spans="1:13" x14ac:dyDescent="0.4">
      <c r="A33" s="103"/>
      <c r="B33" s="104"/>
      <c r="C33" s="105" t="s">
        <v>418</v>
      </c>
      <c r="D33" s="161" t="s">
        <v>419</v>
      </c>
      <c r="E33" s="157" t="s">
        <v>420</v>
      </c>
      <c r="F33" s="107">
        <v>40</v>
      </c>
      <c r="G33" s="158"/>
      <c r="H33" s="100">
        <f t="shared" si="2"/>
        <v>0</v>
      </c>
      <c r="I33" s="107"/>
      <c r="J33" s="99">
        <f t="shared" si="1"/>
        <v>0</v>
      </c>
      <c r="K33" s="159"/>
      <c r="L33" s="267"/>
      <c r="M33" s="268"/>
    </row>
    <row r="34" spans="1:13" x14ac:dyDescent="0.4">
      <c r="A34" s="103"/>
      <c r="B34" s="104"/>
      <c r="C34" s="105" t="s">
        <v>421</v>
      </c>
      <c r="D34" s="161" t="s">
        <v>422</v>
      </c>
      <c r="E34" s="157" t="s">
        <v>423</v>
      </c>
      <c r="F34" s="107">
        <v>90</v>
      </c>
      <c r="G34" s="158"/>
      <c r="H34" s="100"/>
      <c r="I34" s="107">
        <f>F34*G34</f>
        <v>0</v>
      </c>
      <c r="J34" s="99">
        <f t="shared" si="1"/>
        <v>0</v>
      </c>
      <c r="K34" s="159"/>
      <c r="L34" s="267"/>
      <c r="M34" s="268"/>
    </row>
    <row r="35" spans="1:13" x14ac:dyDescent="0.4">
      <c r="A35" s="162"/>
      <c r="B35" s="163"/>
      <c r="C35" s="163"/>
      <c r="D35" s="112" t="s">
        <v>424</v>
      </c>
      <c r="E35" s="164"/>
      <c r="F35" s="165"/>
      <c r="G35" s="166"/>
      <c r="H35" s="183">
        <f>SUM(H36:H46)</f>
        <v>0</v>
      </c>
      <c r="I35" s="114">
        <f>SUM(I36:I46)</f>
        <v>0</v>
      </c>
      <c r="J35" s="168">
        <f>SUM(J36:J46)</f>
        <v>0</v>
      </c>
      <c r="K35" s="169"/>
      <c r="L35" s="278"/>
      <c r="M35" s="279"/>
    </row>
    <row r="36" spans="1:13" x14ac:dyDescent="0.4">
      <c r="A36" s="103"/>
      <c r="B36" s="104"/>
      <c r="C36" s="105" t="s">
        <v>425</v>
      </c>
      <c r="D36" s="96" t="s">
        <v>477</v>
      </c>
      <c r="E36" s="157" t="s">
        <v>383</v>
      </c>
      <c r="F36" s="107">
        <v>1</v>
      </c>
      <c r="G36" s="158"/>
      <c r="H36" s="117">
        <f>F36*G36</f>
        <v>0</v>
      </c>
      <c r="I36" s="107"/>
      <c r="J36" s="99">
        <f>H36+I36</f>
        <v>0</v>
      </c>
      <c r="K36" s="170"/>
      <c r="L36" s="267"/>
      <c r="M36" s="268"/>
    </row>
    <row r="37" spans="1:13" x14ac:dyDescent="0.4">
      <c r="A37" s="103"/>
      <c r="B37" s="104"/>
      <c r="C37" s="105" t="s">
        <v>426</v>
      </c>
      <c r="D37" s="96" t="s">
        <v>496</v>
      </c>
      <c r="E37" s="157" t="s">
        <v>383</v>
      </c>
      <c r="F37" s="107">
        <v>1</v>
      </c>
      <c r="G37" s="158"/>
      <c r="H37" s="117">
        <f t="shared" ref="H37:H45" si="3">F37*G37</f>
        <v>0</v>
      </c>
      <c r="I37" s="107"/>
      <c r="J37" s="99">
        <f t="shared" ref="J37:J46" si="4">H37+I37</f>
        <v>0</v>
      </c>
      <c r="K37" s="159"/>
      <c r="L37" s="267"/>
      <c r="M37" s="268"/>
    </row>
    <row r="38" spans="1:13" x14ac:dyDescent="0.4">
      <c r="A38" s="103"/>
      <c r="B38" s="104"/>
      <c r="C38" s="105" t="s">
        <v>427</v>
      </c>
      <c r="D38" s="96" t="s">
        <v>428</v>
      </c>
      <c r="E38" s="157" t="s">
        <v>25</v>
      </c>
      <c r="F38" s="107">
        <v>1.5</v>
      </c>
      <c r="G38" s="158"/>
      <c r="H38" s="117">
        <f t="shared" si="3"/>
        <v>0</v>
      </c>
      <c r="I38" s="107"/>
      <c r="J38" s="99">
        <f t="shared" si="4"/>
        <v>0</v>
      </c>
      <c r="K38" s="159"/>
      <c r="L38" s="267"/>
      <c r="M38" s="268"/>
    </row>
    <row r="39" spans="1:13" x14ac:dyDescent="0.4">
      <c r="A39" s="103"/>
      <c r="B39" s="104"/>
      <c r="C39" s="105" t="s">
        <v>429</v>
      </c>
      <c r="D39" s="96" t="s">
        <v>430</v>
      </c>
      <c r="E39" s="157" t="s">
        <v>383</v>
      </c>
      <c r="F39" s="107">
        <v>1</v>
      </c>
      <c r="G39" s="158"/>
      <c r="H39" s="117">
        <f t="shared" si="3"/>
        <v>0</v>
      </c>
      <c r="I39" s="107"/>
      <c r="J39" s="99">
        <f t="shared" si="4"/>
        <v>0</v>
      </c>
      <c r="K39" s="159"/>
      <c r="L39" s="267"/>
      <c r="M39" s="268"/>
    </row>
    <row r="40" spans="1:13" x14ac:dyDescent="0.4">
      <c r="A40" s="103"/>
      <c r="B40" s="104"/>
      <c r="C40" s="105" t="s">
        <v>431</v>
      </c>
      <c r="D40" s="96" t="s">
        <v>402</v>
      </c>
      <c r="E40" s="157"/>
      <c r="F40" s="107"/>
      <c r="G40" s="158"/>
      <c r="H40" s="117">
        <f t="shared" si="3"/>
        <v>0</v>
      </c>
      <c r="I40" s="107"/>
      <c r="J40" s="99">
        <f t="shared" si="4"/>
        <v>0</v>
      </c>
      <c r="K40" s="170"/>
      <c r="L40" s="267"/>
      <c r="M40" s="268"/>
    </row>
    <row r="41" spans="1:13" x14ac:dyDescent="0.4">
      <c r="A41" s="103"/>
      <c r="B41" s="104"/>
      <c r="C41" s="105" t="s">
        <v>432</v>
      </c>
      <c r="D41" s="96" t="s">
        <v>433</v>
      </c>
      <c r="E41" s="157" t="s">
        <v>383</v>
      </c>
      <c r="F41" s="107">
        <v>2</v>
      </c>
      <c r="G41" s="158"/>
      <c r="H41" s="117">
        <f t="shared" si="3"/>
        <v>0</v>
      </c>
      <c r="I41" s="107"/>
      <c r="J41" s="99">
        <f t="shared" si="4"/>
        <v>0</v>
      </c>
      <c r="K41" s="159"/>
      <c r="L41" s="267"/>
      <c r="M41" s="268"/>
    </row>
    <row r="42" spans="1:13" x14ac:dyDescent="0.4">
      <c r="A42" s="103"/>
      <c r="B42" s="104"/>
      <c r="C42" s="105" t="s">
        <v>434</v>
      </c>
      <c r="D42" s="96" t="s">
        <v>435</v>
      </c>
      <c r="E42" s="157" t="s">
        <v>381</v>
      </c>
      <c r="F42" s="107">
        <v>1</v>
      </c>
      <c r="G42" s="158"/>
      <c r="H42" s="117">
        <f t="shared" si="3"/>
        <v>0</v>
      </c>
      <c r="I42" s="107"/>
      <c r="J42" s="99">
        <f t="shared" si="4"/>
        <v>0</v>
      </c>
      <c r="K42" s="159"/>
      <c r="L42" s="267"/>
      <c r="M42" s="268"/>
    </row>
    <row r="43" spans="1:13" x14ac:dyDescent="0.4">
      <c r="A43" s="103"/>
      <c r="B43" s="104"/>
      <c r="C43" s="105" t="s">
        <v>436</v>
      </c>
      <c r="D43" s="96" t="s">
        <v>437</v>
      </c>
      <c r="E43" s="157" t="s">
        <v>392</v>
      </c>
      <c r="F43" s="107">
        <v>12</v>
      </c>
      <c r="G43" s="158"/>
      <c r="H43" s="117">
        <f t="shared" si="3"/>
        <v>0</v>
      </c>
      <c r="I43" s="107"/>
      <c r="J43" s="99">
        <f t="shared" si="4"/>
        <v>0</v>
      </c>
      <c r="K43" s="159"/>
      <c r="L43" s="267"/>
      <c r="M43" s="268"/>
    </row>
    <row r="44" spans="1:13" x14ac:dyDescent="0.4">
      <c r="A44" s="103"/>
      <c r="B44" s="104"/>
      <c r="C44" s="105" t="s">
        <v>438</v>
      </c>
      <c r="D44" s="96" t="s">
        <v>439</v>
      </c>
      <c r="E44" s="157" t="s">
        <v>383</v>
      </c>
      <c r="F44" s="107">
        <v>1</v>
      </c>
      <c r="G44" s="158"/>
      <c r="H44" s="117">
        <f t="shared" si="3"/>
        <v>0</v>
      </c>
      <c r="I44" s="107"/>
      <c r="J44" s="99">
        <f t="shared" si="4"/>
        <v>0</v>
      </c>
      <c r="K44" s="170"/>
      <c r="L44" s="267"/>
      <c r="M44" s="268"/>
    </row>
    <row r="45" spans="1:13" x14ac:dyDescent="0.4">
      <c r="A45" s="103"/>
      <c r="B45" s="104"/>
      <c r="C45" s="105" t="s">
        <v>440</v>
      </c>
      <c r="D45" s="96" t="s">
        <v>419</v>
      </c>
      <c r="E45" s="157" t="s">
        <v>420</v>
      </c>
      <c r="F45" s="107">
        <v>20</v>
      </c>
      <c r="G45" s="158"/>
      <c r="H45" s="117">
        <f t="shared" si="3"/>
        <v>0</v>
      </c>
      <c r="I45" s="107"/>
      <c r="J45" s="99">
        <f t="shared" si="4"/>
        <v>0</v>
      </c>
      <c r="K45" s="159"/>
      <c r="L45" s="267"/>
      <c r="M45" s="268"/>
    </row>
    <row r="46" spans="1:13" x14ac:dyDescent="0.4">
      <c r="A46" s="103"/>
      <c r="B46" s="104"/>
      <c r="C46" s="105" t="s">
        <v>441</v>
      </c>
      <c r="D46" s="96" t="s">
        <v>442</v>
      </c>
      <c r="E46" s="157" t="s">
        <v>423</v>
      </c>
      <c r="F46" s="107">
        <v>32</v>
      </c>
      <c r="G46" s="158"/>
      <c r="H46" s="172"/>
      <c r="I46" s="107">
        <f>F46*G46</f>
        <v>0</v>
      </c>
      <c r="J46" s="99">
        <f t="shared" si="4"/>
        <v>0</v>
      </c>
      <c r="K46" s="159"/>
      <c r="L46" s="267"/>
      <c r="M46" s="268"/>
    </row>
    <row r="47" spans="1:13" x14ac:dyDescent="0.4">
      <c r="A47" s="162"/>
      <c r="B47" s="163"/>
      <c r="C47" s="163"/>
      <c r="D47" s="112" t="s">
        <v>443</v>
      </c>
      <c r="E47" s="164"/>
      <c r="F47" s="165"/>
      <c r="G47" s="166"/>
      <c r="H47" s="183">
        <f>SUM(H48:H50)</f>
        <v>0</v>
      </c>
      <c r="I47" s="114">
        <f>SUM(I48:I50)</f>
        <v>0</v>
      </c>
      <c r="J47" s="168">
        <f>SUM(J48:J50)</f>
        <v>0</v>
      </c>
      <c r="K47" s="169"/>
      <c r="L47" s="278"/>
      <c r="M47" s="279"/>
    </row>
    <row r="48" spans="1:13" x14ac:dyDescent="0.4">
      <c r="A48" s="103"/>
      <c r="B48" s="104"/>
      <c r="C48" s="105" t="s">
        <v>444</v>
      </c>
      <c r="D48" s="96" t="s">
        <v>445</v>
      </c>
      <c r="E48" s="157" t="s">
        <v>383</v>
      </c>
      <c r="F48" s="107">
        <v>1</v>
      </c>
      <c r="G48" s="158"/>
      <c r="H48" s="117">
        <f>F48*G48</f>
        <v>0</v>
      </c>
      <c r="I48" s="107"/>
      <c r="J48" s="99">
        <f>H48+I48</f>
        <v>0</v>
      </c>
      <c r="K48" s="170"/>
      <c r="L48" s="267"/>
      <c r="M48" s="268"/>
    </row>
    <row r="49" spans="1:13" x14ac:dyDescent="0.4">
      <c r="A49" s="103"/>
      <c r="B49" s="104"/>
      <c r="C49" s="105" t="s">
        <v>446</v>
      </c>
      <c r="D49" s="96" t="s">
        <v>419</v>
      </c>
      <c r="E49" s="157" t="s">
        <v>420</v>
      </c>
      <c r="F49" s="107">
        <v>3</v>
      </c>
      <c r="G49" s="158"/>
      <c r="H49" s="117">
        <f t="shared" ref="H49" si="5">F49*G49</f>
        <v>0</v>
      </c>
      <c r="I49" s="107"/>
      <c r="J49" s="99">
        <f t="shared" ref="J49:J50" si="6">H49+I49</f>
        <v>0</v>
      </c>
      <c r="K49" s="159"/>
      <c r="L49" s="267"/>
      <c r="M49" s="268"/>
    </row>
    <row r="50" spans="1:13" x14ac:dyDescent="0.4">
      <c r="A50" s="103"/>
      <c r="B50" s="104"/>
      <c r="C50" s="105" t="s">
        <v>447</v>
      </c>
      <c r="D50" s="96" t="s">
        <v>448</v>
      </c>
      <c r="E50" s="157" t="s">
        <v>423</v>
      </c>
      <c r="F50" s="107">
        <v>8</v>
      </c>
      <c r="G50" s="158"/>
      <c r="H50" s="117"/>
      <c r="I50" s="107">
        <f>F50*G50</f>
        <v>0</v>
      </c>
      <c r="J50" s="99">
        <f t="shared" si="6"/>
        <v>0</v>
      </c>
      <c r="K50" s="159"/>
      <c r="L50" s="267"/>
      <c r="M50" s="268"/>
    </row>
    <row r="51" spans="1:13" x14ac:dyDescent="0.4">
      <c r="A51" s="162"/>
      <c r="B51" s="163"/>
      <c r="C51" s="163"/>
      <c r="D51" s="171" t="s">
        <v>259</v>
      </c>
      <c r="E51" s="164"/>
      <c r="F51" s="165"/>
      <c r="G51" s="166"/>
      <c r="H51" s="183"/>
      <c r="I51" s="114">
        <f>SUM(I52:I55)</f>
        <v>0</v>
      </c>
      <c r="J51" s="168">
        <f>SUM(J52:J55)</f>
        <v>0</v>
      </c>
      <c r="K51" s="169"/>
      <c r="L51" s="278"/>
      <c r="M51" s="279"/>
    </row>
    <row r="52" spans="1:13" x14ac:dyDescent="0.4">
      <c r="A52" s="103"/>
      <c r="B52" s="104"/>
      <c r="C52" s="105" t="s">
        <v>449</v>
      </c>
      <c r="D52" s="96" t="s">
        <v>450</v>
      </c>
      <c r="E52" s="157" t="s">
        <v>381</v>
      </c>
      <c r="F52" s="107">
        <v>1</v>
      </c>
      <c r="G52" s="158"/>
      <c r="H52" s="117"/>
      <c r="I52" s="107">
        <f>F52*G52</f>
        <v>0</v>
      </c>
      <c r="J52" s="99">
        <f>H52+I52</f>
        <v>0</v>
      </c>
      <c r="K52" s="159"/>
      <c r="L52" s="267"/>
      <c r="M52" s="268"/>
    </row>
    <row r="53" spans="1:13" x14ac:dyDescent="0.4">
      <c r="A53" s="103"/>
      <c r="B53" s="104"/>
      <c r="C53" s="105" t="s">
        <v>451</v>
      </c>
      <c r="D53" s="96" t="s">
        <v>452</v>
      </c>
      <c r="E53" s="157" t="s">
        <v>381</v>
      </c>
      <c r="F53" s="107">
        <v>1</v>
      </c>
      <c r="G53" s="158"/>
      <c r="H53" s="117"/>
      <c r="I53" s="107">
        <f t="shared" ref="I53:I55" si="7">F53*G53</f>
        <v>0</v>
      </c>
      <c r="J53" s="99">
        <f t="shared" ref="J53:J55" si="8">H53+I53</f>
        <v>0</v>
      </c>
      <c r="K53" s="159"/>
      <c r="L53" s="267"/>
      <c r="M53" s="268"/>
    </row>
    <row r="54" spans="1:13" x14ac:dyDescent="0.4">
      <c r="A54" s="103"/>
      <c r="B54" s="104"/>
      <c r="C54" s="105" t="s">
        <v>453</v>
      </c>
      <c r="D54" s="96" t="s">
        <v>454</v>
      </c>
      <c r="E54" s="157" t="s">
        <v>381</v>
      </c>
      <c r="F54" s="107">
        <v>1</v>
      </c>
      <c r="G54" s="158"/>
      <c r="H54" s="117"/>
      <c r="I54" s="107">
        <f t="shared" si="7"/>
        <v>0</v>
      </c>
      <c r="J54" s="99">
        <f t="shared" si="8"/>
        <v>0</v>
      </c>
      <c r="K54" s="159"/>
      <c r="L54" s="267"/>
      <c r="M54" s="268"/>
    </row>
    <row r="55" spans="1:13" x14ac:dyDescent="0.4">
      <c r="A55" s="103"/>
      <c r="B55" s="104"/>
      <c r="C55" s="105" t="s">
        <v>455</v>
      </c>
      <c r="D55" s="96" t="s">
        <v>456</v>
      </c>
      <c r="E55" s="157" t="s">
        <v>381</v>
      </c>
      <c r="F55" s="107">
        <v>1</v>
      </c>
      <c r="G55" s="158"/>
      <c r="H55" s="117"/>
      <c r="I55" s="107">
        <f t="shared" si="7"/>
        <v>0</v>
      </c>
      <c r="J55" s="99">
        <f t="shared" si="8"/>
        <v>0</v>
      </c>
      <c r="K55" s="170"/>
      <c r="L55" s="267"/>
      <c r="M55" s="268"/>
    </row>
    <row r="56" spans="1:13" x14ac:dyDescent="0.4">
      <c r="H56" s="182">
        <f>H51+H47+H35+H12</f>
        <v>0</v>
      </c>
      <c r="I56" s="182">
        <f>I51+I47+I35+I12</f>
        <v>0</v>
      </c>
    </row>
    <row r="57" spans="1:13" x14ac:dyDescent="0.4">
      <c r="H57" s="119" t="s">
        <v>228</v>
      </c>
      <c r="I57" s="119"/>
      <c r="J57" s="120">
        <f>J51+J35+J12+J47</f>
        <v>0</v>
      </c>
    </row>
  </sheetData>
  <mergeCells count="71">
    <mergeCell ref="L54:M54"/>
    <mergeCell ref="L55:M55"/>
    <mergeCell ref="L47:M47"/>
    <mergeCell ref="L48:M48"/>
    <mergeCell ref="L49:M49"/>
    <mergeCell ref="L50:M50"/>
    <mergeCell ref="L51:M51"/>
    <mergeCell ref="L52:M52"/>
    <mergeCell ref="L53:M53"/>
    <mergeCell ref="L45:M45"/>
    <mergeCell ref="L46:M46"/>
    <mergeCell ref="L39:M39"/>
    <mergeCell ref="L40:M40"/>
    <mergeCell ref="L41:M41"/>
    <mergeCell ref="L42:M42"/>
    <mergeCell ref="L43:M43"/>
    <mergeCell ref="L44:M44"/>
    <mergeCell ref="L38:M38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27:M27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15:M15"/>
    <mergeCell ref="A8:C9"/>
    <mergeCell ref="D8:D9"/>
    <mergeCell ref="E8:F9"/>
    <mergeCell ref="G8:G9"/>
    <mergeCell ref="H8:H9"/>
    <mergeCell ref="I8:M9"/>
    <mergeCell ref="H10:J10"/>
    <mergeCell ref="K10:M10"/>
    <mergeCell ref="L11:M11"/>
    <mergeCell ref="L13:M13"/>
    <mergeCell ref="L14:M14"/>
    <mergeCell ref="I6:M7"/>
    <mergeCell ref="A4:C5"/>
    <mergeCell ref="D4:D5"/>
    <mergeCell ref="E4:F5"/>
    <mergeCell ref="G4:G5"/>
    <mergeCell ref="H4:H5"/>
    <mergeCell ref="I4:M5"/>
    <mergeCell ref="A6:C7"/>
    <mergeCell ref="D6:D7"/>
    <mergeCell ref="E6:F7"/>
    <mergeCell ref="G6:G7"/>
    <mergeCell ref="H6:H7"/>
    <mergeCell ref="A1:M1"/>
    <mergeCell ref="A2:C3"/>
    <mergeCell ref="D2:D3"/>
    <mergeCell ref="E2:F3"/>
    <mergeCell ref="G2:G3"/>
    <mergeCell ref="H2:H3"/>
    <mergeCell ref="I2:M3"/>
  </mergeCells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9DE4-71C8-4450-99A5-B61E9A09EA90}">
  <dimension ref="A1:M23"/>
  <sheetViews>
    <sheetView workbookViewId="0">
      <pane ySplit="11" topLeftCell="A21" activePane="bottomLeft" state="frozen"/>
      <selection pane="bottomLeft" activeCell="F31" sqref="F31"/>
    </sheetView>
  </sheetViews>
  <sheetFormatPr defaultColWidth="9.23046875" defaultRowHeight="14.6" x14ac:dyDescent="0.4"/>
  <cols>
    <col min="1" max="1" width="4" style="75" customWidth="1"/>
    <col min="2" max="2" width="7.53515625" style="75" customWidth="1"/>
    <col min="3" max="3" width="17.84375" style="75" customWidth="1"/>
    <col min="4" max="4" width="90.53515625" style="75" customWidth="1"/>
    <col min="5" max="5" width="8" style="75" customWidth="1"/>
    <col min="6" max="6" width="12.84375" style="75" customWidth="1"/>
    <col min="7" max="7" width="12" style="75" customWidth="1"/>
    <col min="8" max="10" width="15.69140625" style="75" customWidth="1"/>
    <col min="11" max="11" width="16.23046875" style="75" customWidth="1"/>
    <col min="12" max="12" width="11.69140625" style="75" customWidth="1"/>
    <col min="13" max="13" width="14.69140625" style="75" customWidth="1"/>
    <col min="14" max="16384" width="9.23046875" style="75"/>
  </cols>
  <sheetData>
    <row r="1" spans="1:13" ht="22.3" x14ac:dyDescent="0.4">
      <c r="A1" s="255" t="s">
        <v>522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15" customHeight="1" x14ac:dyDescent="0.4">
      <c r="A2" s="256" t="s">
        <v>1</v>
      </c>
      <c r="B2" s="257"/>
      <c r="C2" s="257"/>
      <c r="D2" s="260" t="s">
        <v>475</v>
      </c>
      <c r="E2" s="257" t="s">
        <v>2</v>
      </c>
      <c r="F2" s="257"/>
      <c r="G2" s="257" t="s">
        <v>20</v>
      </c>
      <c r="H2" s="262" t="s">
        <v>3</v>
      </c>
      <c r="I2" s="257" t="s">
        <v>292</v>
      </c>
      <c r="J2" s="257"/>
      <c r="K2" s="257"/>
      <c r="L2" s="257"/>
      <c r="M2" s="263"/>
    </row>
    <row r="3" spans="1:13" ht="15" customHeight="1" x14ac:dyDescent="0.4">
      <c r="A3" s="258"/>
      <c r="B3" s="259"/>
      <c r="C3" s="259"/>
      <c r="D3" s="261"/>
      <c r="E3" s="259"/>
      <c r="F3" s="259"/>
      <c r="G3" s="259"/>
      <c r="H3" s="259"/>
      <c r="I3" s="259"/>
      <c r="J3" s="259"/>
      <c r="K3" s="259"/>
      <c r="L3" s="259"/>
      <c r="M3" s="264"/>
    </row>
    <row r="4" spans="1:13" ht="15" customHeight="1" x14ac:dyDescent="0.4">
      <c r="A4" s="265" t="s">
        <v>4</v>
      </c>
      <c r="B4" s="259"/>
      <c r="C4" s="259"/>
      <c r="D4" s="266" t="str">
        <f>'Stavební rozpočet'!D4:E5</f>
        <v>REKONSTRUKCE MÍSTNOSTI RD110</v>
      </c>
      <c r="E4" s="259" t="s">
        <v>5</v>
      </c>
      <c r="F4" s="259"/>
      <c r="G4" s="259" t="s">
        <v>20</v>
      </c>
      <c r="H4" s="266" t="s">
        <v>6</v>
      </c>
      <c r="I4" s="259" t="s">
        <v>292</v>
      </c>
      <c r="J4" s="259"/>
      <c r="K4" s="259"/>
      <c r="L4" s="259"/>
      <c r="M4" s="264"/>
    </row>
    <row r="5" spans="1:13" x14ac:dyDescent="0.4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4"/>
    </row>
    <row r="6" spans="1:13" ht="15" customHeight="1" x14ac:dyDescent="0.4">
      <c r="A6" s="265" t="s">
        <v>7</v>
      </c>
      <c r="B6" s="259"/>
      <c r="C6" s="259"/>
      <c r="D6" s="266" t="s">
        <v>461</v>
      </c>
      <c r="E6" s="259" t="s">
        <v>8</v>
      </c>
      <c r="F6" s="259"/>
      <c r="G6" s="259" t="s">
        <v>20</v>
      </c>
      <c r="H6" s="266" t="s">
        <v>9</v>
      </c>
      <c r="I6" s="259" t="s">
        <v>292</v>
      </c>
      <c r="J6" s="259"/>
      <c r="K6" s="259"/>
      <c r="L6" s="259"/>
      <c r="M6" s="264"/>
    </row>
    <row r="7" spans="1:13" x14ac:dyDescent="0.4">
      <c r="A7" s="258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64"/>
    </row>
    <row r="8" spans="1:13" ht="15" customHeight="1" x14ac:dyDescent="0.4">
      <c r="A8" s="265" t="s">
        <v>10</v>
      </c>
      <c r="B8" s="259"/>
      <c r="C8" s="259"/>
      <c r="D8" s="266" t="s">
        <v>20</v>
      </c>
      <c r="E8" s="259" t="s">
        <v>11</v>
      </c>
      <c r="F8" s="259"/>
      <c r="G8" s="259" t="s">
        <v>20</v>
      </c>
      <c r="H8" s="266" t="s">
        <v>12</v>
      </c>
      <c r="I8" s="259" t="s">
        <v>292</v>
      </c>
      <c r="J8" s="259"/>
      <c r="K8" s="259"/>
      <c r="L8" s="259"/>
      <c r="M8" s="264"/>
    </row>
    <row r="9" spans="1:13" ht="15" thickBot="1" x14ac:dyDescent="0.4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64"/>
    </row>
    <row r="10" spans="1:13" x14ac:dyDescent="0.4">
      <c r="A10" s="76" t="s">
        <v>13</v>
      </c>
      <c r="B10" s="77" t="s">
        <v>231</v>
      </c>
      <c r="C10" s="77" t="s">
        <v>462</v>
      </c>
      <c r="D10" s="78" t="s">
        <v>15</v>
      </c>
      <c r="E10" s="79" t="s">
        <v>16</v>
      </c>
      <c r="F10" s="79" t="s">
        <v>17</v>
      </c>
      <c r="G10" s="122" t="s">
        <v>295</v>
      </c>
      <c r="H10" s="269" t="s">
        <v>296</v>
      </c>
      <c r="I10" s="270"/>
      <c r="J10" s="271"/>
      <c r="K10" s="272" t="s">
        <v>463</v>
      </c>
      <c r="L10" s="272"/>
      <c r="M10" s="273"/>
    </row>
    <row r="11" spans="1:13" ht="15" thickBot="1" x14ac:dyDescent="0.45">
      <c r="A11" s="139" t="s">
        <v>20</v>
      </c>
      <c r="B11" s="137" t="s">
        <v>20</v>
      </c>
      <c r="C11" s="137" t="s">
        <v>20</v>
      </c>
      <c r="D11" s="140"/>
      <c r="E11" s="141" t="s">
        <v>20</v>
      </c>
      <c r="F11" s="137" t="s">
        <v>20</v>
      </c>
      <c r="G11" s="176" t="s">
        <v>301</v>
      </c>
      <c r="H11" s="143" t="s">
        <v>302</v>
      </c>
      <c r="I11" s="144" t="s">
        <v>253</v>
      </c>
      <c r="J11" s="176" t="s">
        <v>303</v>
      </c>
      <c r="K11" s="181" t="s">
        <v>300</v>
      </c>
      <c r="L11" s="282" t="s">
        <v>476</v>
      </c>
      <c r="M11" s="282"/>
    </row>
    <row r="12" spans="1:13" x14ac:dyDescent="0.4">
      <c r="A12" s="145"/>
      <c r="B12" s="146"/>
      <c r="C12" s="175" t="s">
        <v>503</v>
      </c>
      <c r="D12" s="147" t="s">
        <v>511</v>
      </c>
      <c r="E12" s="148"/>
      <c r="F12" s="146"/>
      <c r="G12" s="177"/>
      <c r="H12" s="150">
        <f>SUM(H13:H20)+H22</f>
        <v>0</v>
      </c>
      <c r="I12" s="151">
        <f>SUM(I13:I20)+I22</f>
        <v>0</v>
      </c>
      <c r="J12" s="152">
        <f>SUM(J13:J20)</f>
        <v>0</v>
      </c>
      <c r="K12" s="179"/>
      <c r="L12" s="179"/>
      <c r="M12" s="180"/>
    </row>
    <row r="13" spans="1:13" x14ac:dyDescent="0.4">
      <c r="A13" s="93"/>
      <c r="B13" s="94"/>
      <c r="C13" s="95" t="s">
        <v>512</v>
      </c>
      <c r="D13" s="155" t="s">
        <v>506</v>
      </c>
      <c r="E13" s="97" t="s">
        <v>383</v>
      </c>
      <c r="F13" s="101">
        <v>1</v>
      </c>
      <c r="G13" s="102"/>
      <c r="H13" s="100">
        <f>F13*G13</f>
        <v>0</v>
      </c>
      <c r="I13" s="101"/>
      <c r="J13" s="99">
        <f>H13+I13</f>
        <v>0</v>
      </c>
      <c r="K13" s="156"/>
      <c r="L13" s="276"/>
      <c r="M13" s="277"/>
    </row>
    <row r="14" spans="1:13" x14ac:dyDescent="0.4">
      <c r="A14" s="103"/>
      <c r="B14" s="104"/>
      <c r="C14" s="95" t="s">
        <v>513</v>
      </c>
      <c r="D14" s="155" t="s">
        <v>502</v>
      </c>
      <c r="E14" s="157" t="s">
        <v>383</v>
      </c>
      <c r="F14" s="107">
        <v>1</v>
      </c>
      <c r="G14" s="124"/>
      <c r="H14" s="117">
        <f t="shared" ref="H14:H18" si="0">F14*G14</f>
        <v>0</v>
      </c>
      <c r="I14" s="107"/>
      <c r="J14" s="99">
        <f t="shared" ref="J14:J20" si="1">H14+I14</f>
        <v>0</v>
      </c>
      <c r="K14" s="159"/>
      <c r="L14" s="267"/>
      <c r="M14" s="268"/>
    </row>
    <row r="15" spans="1:13" x14ac:dyDescent="0.4">
      <c r="A15" s="103"/>
      <c r="B15" s="104"/>
      <c r="C15" s="95" t="s">
        <v>514</v>
      </c>
      <c r="D15" s="155" t="s">
        <v>507</v>
      </c>
      <c r="E15" s="157" t="s">
        <v>383</v>
      </c>
      <c r="F15" s="107">
        <v>1</v>
      </c>
      <c r="G15" s="124"/>
      <c r="H15" s="117">
        <f t="shared" si="0"/>
        <v>0</v>
      </c>
      <c r="I15" s="107"/>
      <c r="J15" s="99">
        <f t="shared" si="1"/>
        <v>0</v>
      </c>
      <c r="K15" s="159"/>
      <c r="L15" s="267"/>
      <c r="M15" s="268"/>
    </row>
    <row r="16" spans="1:13" x14ac:dyDescent="0.4">
      <c r="A16" s="103"/>
      <c r="B16" s="104"/>
      <c r="C16" s="95" t="s">
        <v>515</v>
      </c>
      <c r="D16" s="155" t="s">
        <v>508</v>
      </c>
      <c r="E16" s="157" t="s">
        <v>383</v>
      </c>
      <c r="F16" s="107">
        <v>4</v>
      </c>
      <c r="G16" s="124"/>
      <c r="H16" s="117">
        <f t="shared" si="0"/>
        <v>0</v>
      </c>
      <c r="I16" s="107"/>
      <c r="J16" s="99">
        <f t="shared" si="1"/>
        <v>0</v>
      </c>
      <c r="K16" s="159"/>
      <c r="L16" s="267"/>
      <c r="M16" s="268"/>
    </row>
    <row r="17" spans="1:13" x14ac:dyDescent="0.4">
      <c r="A17" s="103"/>
      <c r="B17" s="104"/>
      <c r="C17" s="95" t="s">
        <v>516</v>
      </c>
      <c r="D17" s="160" t="s">
        <v>509</v>
      </c>
      <c r="E17" s="157" t="s">
        <v>383</v>
      </c>
      <c r="F17" s="107">
        <v>1</v>
      </c>
      <c r="G17" s="124"/>
      <c r="H17" s="117">
        <f t="shared" si="0"/>
        <v>0</v>
      </c>
      <c r="I17" s="107"/>
      <c r="J17" s="99">
        <f t="shared" si="1"/>
        <v>0</v>
      </c>
      <c r="K17" s="159"/>
      <c r="L17" s="267"/>
      <c r="M17" s="268"/>
    </row>
    <row r="18" spans="1:13" x14ac:dyDescent="0.4">
      <c r="A18" s="103"/>
      <c r="B18" s="104"/>
      <c r="C18" s="95" t="s">
        <v>517</v>
      </c>
      <c r="D18" s="160" t="s">
        <v>510</v>
      </c>
      <c r="E18" s="157" t="s">
        <v>383</v>
      </c>
      <c r="F18" s="107">
        <v>3</v>
      </c>
      <c r="G18" s="124"/>
      <c r="H18" s="117">
        <f t="shared" si="0"/>
        <v>0</v>
      </c>
      <c r="I18" s="107"/>
      <c r="J18" s="99">
        <f t="shared" si="1"/>
        <v>0</v>
      </c>
      <c r="K18" s="159"/>
      <c r="L18" s="267"/>
      <c r="M18" s="268"/>
    </row>
    <row r="19" spans="1:13" x14ac:dyDescent="0.4">
      <c r="A19" s="103"/>
      <c r="B19" s="104"/>
      <c r="C19" s="95" t="s">
        <v>518</v>
      </c>
      <c r="D19" s="155" t="s">
        <v>500</v>
      </c>
      <c r="E19" s="157" t="s">
        <v>383</v>
      </c>
      <c r="F19" s="107">
        <v>1</v>
      </c>
      <c r="G19" s="124"/>
      <c r="H19" s="117"/>
      <c r="I19" s="107">
        <f>F19*G19</f>
        <v>0</v>
      </c>
      <c r="J19" s="99">
        <f>H19+I19</f>
        <v>0</v>
      </c>
      <c r="K19" s="159"/>
      <c r="L19" s="267"/>
      <c r="M19" s="268"/>
    </row>
    <row r="20" spans="1:13" x14ac:dyDescent="0.4">
      <c r="A20" s="103"/>
      <c r="B20" s="104"/>
      <c r="C20" s="95" t="s">
        <v>519</v>
      </c>
      <c r="D20" s="155" t="s">
        <v>501</v>
      </c>
      <c r="E20" s="157" t="s">
        <v>383</v>
      </c>
      <c r="F20" s="107">
        <v>1</v>
      </c>
      <c r="G20" s="124"/>
      <c r="H20" s="117"/>
      <c r="I20" s="107">
        <f>F20*G20</f>
        <v>0</v>
      </c>
      <c r="J20" s="99">
        <f t="shared" si="1"/>
        <v>0</v>
      </c>
      <c r="K20" s="159"/>
      <c r="L20" s="267"/>
      <c r="M20" s="268"/>
    </row>
    <row r="21" spans="1:13" x14ac:dyDescent="0.4">
      <c r="A21" s="162"/>
      <c r="B21" s="163"/>
      <c r="C21" s="110" t="s">
        <v>504</v>
      </c>
      <c r="D21" s="89" t="s">
        <v>520</v>
      </c>
      <c r="E21" s="164"/>
      <c r="F21" s="165"/>
      <c r="G21" s="178"/>
      <c r="H21" s="167"/>
      <c r="I21" s="165">
        <f>SUM(I22:I22)</f>
        <v>0</v>
      </c>
      <c r="J21" s="168">
        <f>SUM(J22:J22)</f>
        <v>0</v>
      </c>
      <c r="K21" s="169"/>
      <c r="L21" s="278"/>
      <c r="M21" s="279"/>
    </row>
    <row r="22" spans="1:13" ht="15" thickBot="1" x14ac:dyDescent="0.45">
      <c r="A22" s="104"/>
      <c r="B22" s="104"/>
      <c r="C22" s="105" t="s">
        <v>521</v>
      </c>
      <c r="D22" s="160" t="s">
        <v>505</v>
      </c>
      <c r="E22" s="157" t="s">
        <v>383</v>
      </c>
      <c r="F22" s="107">
        <v>1</v>
      </c>
      <c r="G22" s="124"/>
      <c r="H22" s="128"/>
      <c r="I22" s="129">
        <f>F22*G22</f>
        <v>0</v>
      </c>
      <c r="J22" s="130">
        <f>H22+I22</f>
        <v>0</v>
      </c>
      <c r="K22" s="159"/>
      <c r="L22" s="280"/>
      <c r="M22" s="281"/>
    </row>
    <row r="23" spans="1:13" x14ac:dyDescent="0.4">
      <c r="H23" s="119" t="s">
        <v>228</v>
      </c>
      <c r="I23" s="119"/>
      <c r="J23" s="120">
        <f>J21+J12</f>
        <v>0</v>
      </c>
    </row>
  </sheetData>
  <mergeCells count="38">
    <mergeCell ref="A1:M1"/>
    <mergeCell ref="A2:C3"/>
    <mergeCell ref="D2:D3"/>
    <mergeCell ref="E2:F3"/>
    <mergeCell ref="G2:G3"/>
    <mergeCell ref="H2:H3"/>
    <mergeCell ref="I2:M3"/>
    <mergeCell ref="I6:M7"/>
    <mergeCell ref="A4:C5"/>
    <mergeCell ref="D4:D5"/>
    <mergeCell ref="E4:F5"/>
    <mergeCell ref="G4:G5"/>
    <mergeCell ref="H4:H5"/>
    <mergeCell ref="I4:M5"/>
    <mergeCell ref="A6:C7"/>
    <mergeCell ref="D6:D7"/>
    <mergeCell ref="E6:F7"/>
    <mergeCell ref="G6:G7"/>
    <mergeCell ref="H6:H7"/>
    <mergeCell ref="L15:M15"/>
    <mergeCell ref="A8:C9"/>
    <mergeCell ref="D8:D9"/>
    <mergeCell ref="E8:F9"/>
    <mergeCell ref="G8:G9"/>
    <mergeCell ref="H8:H9"/>
    <mergeCell ref="I8:M9"/>
    <mergeCell ref="H10:J10"/>
    <mergeCell ref="K10:M10"/>
    <mergeCell ref="L11:M11"/>
    <mergeCell ref="L13:M13"/>
    <mergeCell ref="L14:M14"/>
    <mergeCell ref="L22:M22"/>
    <mergeCell ref="L21:M21"/>
    <mergeCell ref="L16:M16"/>
    <mergeCell ref="L17:M17"/>
    <mergeCell ref="L18:M18"/>
    <mergeCell ref="L19:M19"/>
    <mergeCell ref="L20:M20"/>
  </mergeCells>
  <phoneticPr fontId="22" type="noConversion"/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2642-6BC4-4B33-9B24-06CB8AD14377}">
  <dimension ref="A1:M55"/>
  <sheetViews>
    <sheetView topLeftCell="A4" zoomScale="90" zoomScaleNormal="90" workbookViewId="0">
      <selection activeCell="D17" sqref="D17"/>
    </sheetView>
  </sheetViews>
  <sheetFormatPr defaultColWidth="9.15234375" defaultRowHeight="14.6" x14ac:dyDescent="0.4"/>
  <cols>
    <col min="1" max="1" width="4" style="75" customWidth="1"/>
    <col min="2" max="2" width="7.53515625" style="75" customWidth="1"/>
    <col min="3" max="3" width="17.84375" style="75" customWidth="1"/>
    <col min="4" max="4" width="90.53515625" style="75" customWidth="1"/>
    <col min="5" max="5" width="8" style="75" customWidth="1"/>
    <col min="6" max="6" width="12.84375" style="75" customWidth="1"/>
    <col min="7" max="7" width="12" style="75" customWidth="1"/>
    <col min="8" max="10" width="15.69140625" style="75" customWidth="1"/>
    <col min="11" max="11" width="35.53515625" style="75" customWidth="1"/>
    <col min="12" max="16384" width="9.15234375" style="75"/>
  </cols>
  <sheetData>
    <row r="1" spans="1:11" ht="22.3" x14ac:dyDescent="0.4">
      <c r="A1" s="255" t="s">
        <v>460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" customHeight="1" x14ac:dyDescent="0.4">
      <c r="A2" s="256" t="s">
        <v>1</v>
      </c>
      <c r="B2" s="257"/>
      <c r="C2" s="257"/>
      <c r="D2" s="260" t="str">
        <f>'Stavební rozpočet'!D2:E3</f>
        <v>VŠB-TUO rekonstrukce laboratoře v budově CPIT</v>
      </c>
      <c r="E2" s="257" t="s">
        <v>2</v>
      </c>
      <c r="F2" s="257"/>
      <c r="G2" s="257" t="s">
        <v>20</v>
      </c>
      <c r="H2" s="262" t="s">
        <v>3</v>
      </c>
      <c r="I2" s="257" t="s">
        <v>292</v>
      </c>
      <c r="J2" s="257"/>
      <c r="K2" s="257"/>
    </row>
    <row r="3" spans="1:11" ht="15" customHeight="1" x14ac:dyDescent="0.4">
      <c r="A3" s="258"/>
      <c r="B3" s="259"/>
      <c r="C3" s="259"/>
      <c r="D3" s="261"/>
      <c r="E3" s="259"/>
      <c r="F3" s="259"/>
      <c r="G3" s="259"/>
      <c r="H3" s="259"/>
      <c r="I3" s="259"/>
      <c r="J3" s="259"/>
      <c r="K3" s="259"/>
    </row>
    <row r="4" spans="1:11" ht="15" customHeight="1" x14ac:dyDescent="0.4">
      <c r="A4" s="265" t="s">
        <v>4</v>
      </c>
      <c r="B4" s="259"/>
      <c r="C4" s="259"/>
      <c r="D4" s="266" t="str">
        <f>'Stavební rozpočet'!D4:E5</f>
        <v>REKONSTRUKCE MÍSTNOSTI RD110</v>
      </c>
      <c r="E4" s="259" t="s">
        <v>5</v>
      </c>
      <c r="F4" s="259"/>
      <c r="G4" s="259" t="s">
        <v>20</v>
      </c>
      <c r="H4" s="266" t="s">
        <v>6</v>
      </c>
      <c r="I4" s="259" t="s">
        <v>292</v>
      </c>
      <c r="J4" s="259"/>
      <c r="K4" s="259"/>
    </row>
    <row r="5" spans="1:11" x14ac:dyDescent="0.4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</row>
    <row r="6" spans="1:11" ht="15" customHeight="1" x14ac:dyDescent="0.4">
      <c r="A6" s="265" t="s">
        <v>7</v>
      </c>
      <c r="B6" s="259"/>
      <c r="C6" s="259"/>
      <c r="D6" s="266" t="s">
        <v>461</v>
      </c>
      <c r="E6" s="259" t="s">
        <v>8</v>
      </c>
      <c r="F6" s="259"/>
      <c r="G6" s="259" t="s">
        <v>20</v>
      </c>
      <c r="H6" s="266" t="s">
        <v>9</v>
      </c>
      <c r="I6" s="259" t="s">
        <v>292</v>
      </c>
      <c r="J6" s="259"/>
      <c r="K6" s="259"/>
    </row>
    <row r="7" spans="1:11" x14ac:dyDescent="0.4">
      <c r="A7" s="258"/>
      <c r="B7" s="259"/>
      <c r="C7" s="259"/>
      <c r="D7" s="259"/>
      <c r="E7" s="259"/>
      <c r="F7" s="259"/>
      <c r="G7" s="259"/>
      <c r="H7" s="259"/>
      <c r="I7" s="259"/>
      <c r="J7" s="259"/>
      <c r="K7" s="259"/>
    </row>
    <row r="8" spans="1:11" ht="15" customHeight="1" x14ac:dyDescent="0.4">
      <c r="A8" s="265" t="s">
        <v>10</v>
      </c>
      <c r="B8" s="259"/>
      <c r="C8" s="259"/>
      <c r="D8" s="266" t="s">
        <v>20</v>
      </c>
      <c r="E8" s="259" t="s">
        <v>11</v>
      </c>
      <c r="F8" s="259"/>
      <c r="G8" s="259" t="s">
        <v>20</v>
      </c>
      <c r="H8" s="266" t="s">
        <v>12</v>
      </c>
      <c r="I8" s="259" t="s">
        <v>292</v>
      </c>
      <c r="J8" s="259"/>
      <c r="K8" s="259"/>
    </row>
    <row r="9" spans="1:11" ht="15" thickBot="1" x14ac:dyDescent="0.4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x14ac:dyDescent="0.4">
      <c r="A10" s="76" t="s">
        <v>13</v>
      </c>
      <c r="B10" s="77" t="s">
        <v>231</v>
      </c>
      <c r="C10" s="77" t="s">
        <v>462</v>
      </c>
      <c r="D10" s="78" t="s">
        <v>15</v>
      </c>
      <c r="E10" s="79" t="s">
        <v>16</v>
      </c>
      <c r="F10" s="79" t="s">
        <v>17</v>
      </c>
      <c r="G10" s="122" t="s">
        <v>295</v>
      </c>
      <c r="H10" s="269" t="s">
        <v>296</v>
      </c>
      <c r="I10" s="270"/>
      <c r="J10" s="271"/>
      <c r="K10" s="283" t="s">
        <v>463</v>
      </c>
    </row>
    <row r="11" spans="1:11" ht="15" thickBot="1" x14ac:dyDescent="0.45">
      <c r="A11" s="80" t="s">
        <v>20</v>
      </c>
      <c r="B11" s="81" t="s">
        <v>20</v>
      </c>
      <c r="C11" s="81" t="s">
        <v>20</v>
      </c>
      <c r="D11" s="82"/>
      <c r="E11" s="83" t="s">
        <v>20</v>
      </c>
      <c r="F11" s="81" t="s">
        <v>20</v>
      </c>
      <c r="G11" s="123" t="s">
        <v>301</v>
      </c>
      <c r="H11" s="85" t="s">
        <v>302</v>
      </c>
      <c r="I11" s="86" t="s">
        <v>253</v>
      </c>
      <c r="J11" s="84" t="s">
        <v>303</v>
      </c>
      <c r="K11" s="284"/>
    </row>
    <row r="12" spans="1:11" x14ac:dyDescent="0.4">
      <c r="A12" s="87"/>
      <c r="B12" s="88"/>
      <c r="C12" s="88"/>
      <c r="D12" s="89" t="s">
        <v>464</v>
      </c>
      <c r="E12" s="90"/>
      <c r="F12" s="88"/>
      <c r="G12" s="91"/>
      <c r="H12" s="126">
        <f>SUM(H13:H41)</f>
        <v>0</v>
      </c>
      <c r="I12" s="92">
        <f>SUM(I13:I41)</f>
        <v>0</v>
      </c>
      <c r="J12" s="127">
        <f>SUM(J13:J41)</f>
        <v>0</v>
      </c>
      <c r="K12" s="131"/>
    </row>
    <row r="13" spans="1:11" ht="25.75" x14ac:dyDescent="0.4">
      <c r="A13" s="93"/>
      <c r="B13" s="94"/>
      <c r="C13" s="95"/>
      <c r="D13" s="96" t="s">
        <v>362</v>
      </c>
      <c r="E13" s="97" t="s">
        <v>383</v>
      </c>
      <c r="F13" s="98">
        <v>1</v>
      </c>
      <c r="G13" s="102"/>
      <c r="H13" s="100">
        <f>F13*G13</f>
        <v>0</v>
      </c>
      <c r="I13" s="101"/>
      <c r="J13" s="99">
        <f>H13+I13</f>
        <v>0</v>
      </c>
      <c r="K13" s="132"/>
    </row>
    <row r="14" spans="1:11" x14ac:dyDescent="0.4">
      <c r="A14" s="103"/>
      <c r="B14" s="104"/>
      <c r="C14" s="105"/>
      <c r="D14" s="96" t="s">
        <v>363</v>
      </c>
      <c r="E14" s="97" t="s">
        <v>383</v>
      </c>
      <c r="F14" s="106">
        <v>1</v>
      </c>
      <c r="G14" s="124"/>
      <c r="H14" s="100">
        <f t="shared" ref="H14:H41" si="0">F14*G14</f>
        <v>0</v>
      </c>
      <c r="I14" s="107"/>
      <c r="J14" s="99">
        <f t="shared" ref="J14:J41" si="1">H14+I14</f>
        <v>0</v>
      </c>
      <c r="K14" s="132"/>
    </row>
    <row r="15" spans="1:11" ht="25.75" x14ac:dyDescent="0.4">
      <c r="A15" s="103"/>
      <c r="B15" s="104"/>
      <c r="C15" s="105"/>
      <c r="D15" s="96" t="s">
        <v>524</v>
      </c>
      <c r="E15" s="97" t="s">
        <v>383</v>
      </c>
      <c r="F15" s="106">
        <v>1</v>
      </c>
      <c r="G15" s="124"/>
      <c r="H15" s="100">
        <f t="shared" si="0"/>
        <v>0</v>
      </c>
      <c r="I15" s="107"/>
      <c r="J15" s="99">
        <f t="shared" si="1"/>
        <v>0</v>
      </c>
      <c r="K15" s="132" t="s">
        <v>523</v>
      </c>
    </row>
    <row r="16" spans="1:11" ht="25.75" x14ac:dyDescent="0.4">
      <c r="A16" s="103"/>
      <c r="B16" s="104"/>
      <c r="C16" s="105"/>
      <c r="D16" s="96" t="s">
        <v>525</v>
      </c>
      <c r="E16" s="97" t="s">
        <v>383</v>
      </c>
      <c r="F16" s="106">
        <v>2</v>
      </c>
      <c r="G16" s="124"/>
      <c r="H16" s="100">
        <f t="shared" si="0"/>
        <v>0</v>
      </c>
      <c r="I16" s="107"/>
      <c r="J16" s="99">
        <f t="shared" si="1"/>
        <v>0</v>
      </c>
      <c r="K16" s="132" t="s">
        <v>523</v>
      </c>
    </row>
    <row r="17" spans="1:11" ht="38.15" x14ac:dyDescent="0.4">
      <c r="A17" s="103"/>
      <c r="B17" s="104"/>
      <c r="C17" s="105"/>
      <c r="D17" s="96" t="s">
        <v>530</v>
      </c>
      <c r="E17" s="97" t="s">
        <v>383</v>
      </c>
      <c r="F17" s="106">
        <v>7</v>
      </c>
      <c r="G17" s="124"/>
      <c r="H17" s="100">
        <f t="shared" si="0"/>
        <v>0</v>
      </c>
      <c r="I17" s="107"/>
      <c r="J17" s="99">
        <f t="shared" si="1"/>
        <v>0</v>
      </c>
      <c r="K17" s="132" t="s">
        <v>523</v>
      </c>
    </row>
    <row r="18" spans="1:11" ht="25.75" x14ac:dyDescent="0.4">
      <c r="A18" s="103"/>
      <c r="B18" s="104"/>
      <c r="C18" s="105"/>
      <c r="D18" s="96" t="s">
        <v>526</v>
      </c>
      <c r="E18" s="97" t="s">
        <v>383</v>
      </c>
      <c r="F18" s="106">
        <v>1</v>
      </c>
      <c r="G18" s="124"/>
      <c r="H18" s="100">
        <f t="shared" si="0"/>
        <v>0</v>
      </c>
      <c r="I18" s="107"/>
      <c r="J18" s="99">
        <f t="shared" si="1"/>
        <v>0</v>
      </c>
      <c r="K18" s="132" t="s">
        <v>523</v>
      </c>
    </row>
    <row r="19" spans="1:11" ht="25.75" x14ac:dyDescent="0.4">
      <c r="A19" s="103"/>
      <c r="B19" s="104"/>
      <c r="C19" s="105"/>
      <c r="D19" s="96" t="s">
        <v>527</v>
      </c>
      <c r="E19" s="97" t="s">
        <v>383</v>
      </c>
      <c r="F19" s="106">
        <v>2</v>
      </c>
      <c r="G19" s="124"/>
      <c r="H19" s="100">
        <f t="shared" si="0"/>
        <v>0</v>
      </c>
      <c r="I19" s="107"/>
      <c r="J19" s="99">
        <f t="shared" si="1"/>
        <v>0</v>
      </c>
      <c r="K19" s="132" t="s">
        <v>523</v>
      </c>
    </row>
    <row r="20" spans="1:11" ht="25.75" x14ac:dyDescent="0.4">
      <c r="A20" s="103"/>
      <c r="B20" s="104"/>
      <c r="C20" s="105"/>
      <c r="D20" s="96" t="s">
        <v>528</v>
      </c>
      <c r="E20" s="97" t="s">
        <v>383</v>
      </c>
      <c r="F20" s="106">
        <v>4</v>
      </c>
      <c r="G20" s="124"/>
      <c r="H20" s="100">
        <f t="shared" si="0"/>
        <v>0</v>
      </c>
      <c r="I20" s="107"/>
      <c r="J20" s="99">
        <f t="shared" si="1"/>
        <v>0</v>
      </c>
      <c r="K20" s="132" t="s">
        <v>523</v>
      </c>
    </row>
    <row r="21" spans="1:11" ht="25.75" x14ac:dyDescent="0.4">
      <c r="A21" s="103"/>
      <c r="B21" s="104"/>
      <c r="C21" s="105"/>
      <c r="D21" s="96" t="s">
        <v>529</v>
      </c>
      <c r="E21" s="97" t="s">
        <v>383</v>
      </c>
      <c r="F21" s="106">
        <v>3</v>
      </c>
      <c r="G21" s="124"/>
      <c r="H21" s="100">
        <f t="shared" si="0"/>
        <v>0</v>
      </c>
      <c r="I21" s="107"/>
      <c r="J21" s="99">
        <f t="shared" si="1"/>
        <v>0</v>
      </c>
      <c r="K21" s="132" t="s">
        <v>523</v>
      </c>
    </row>
    <row r="22" spans="1:11" ht="25.75" x14ac:dyDescent="0.4">
      <c r="A22" s="103"/>
      <c r="B22" s="104"/>
      <c r="C22" s="105"/>
      <c r="D22" s="96" t="s">
        <v>364</v>
      </c>
      <c r="E22" s="97" t="s">
        <v>383</v>
      </c>
      <c r="F22" s="106">
        <v>1</v>
      </c>
      <c r="G22" s="124"/>
      <c r="H22" s="100">
        <f t="shared" si="0"/>
        <v>0</v>
      </c>
      <c r="I22" s="107"/>
      <c r="J22" s="99">
        <f t="shared" si="1"/>
        <v>0</v>
      </c>
      <c r="K22" s="132"/>
    </row>
    <row r="23" spans="1:11" ht="38.15" x14ac:dyDescent="0.4">
      <c r="A23" s="103"/>
      <c r="B23" s="104"/>
      <c r="C23" s="105"/>
      <c r="D23" s="96" t="s">
        <v>365</v>
      </c>
      <c r="E23" s="97" t="s">
        <v>383</v>
      </c>
      <c r="F23" s="106">
        <v>1</v>
      </c>
      <c r="G23" s="124"/>
      <c r="H23" s="100">
        <f t="shared" si="0"/>
        <v>0</v>
      </c>
      <c r="I23" s="107"/>
      <c r="J23" s="99">
        <f t="shared" si="1"/>
        <v>0</v>
      </c>
      <c r="K23" s="132"/>
    </row>
    <row r="24" spans="1:11" ht="25.75" x14ac:dyDescent="0.4">
      <c r="A24" s="103"/>
      <c r="B24" s="104"/>
      <c r="C24" s="105"/>
      <c r="D24" s="96" t="s">
        <v>366</v>
      </c>
      <c r="E24" s="97" t="s">
        <v>383</v>
      </c>
      <c r="F24" s="106">
        <v>1</v>
      </c>
      <c r="G24" s="124"/>
      <c r="H24" s="100">
        <f t="shared" si="0"/>
        <v>0</v>
      </c>
      <c r="I24" s="107"/>
      <c r="J24" s="99">
        <f t="shared" si="1"/>
        <v>0</v>
      </c>
      <c r="K24" s="132"/>
    </row>
    <row r="25" spans="1:11" ht="25.75" x14ac:dyDescent="0.4">
      <c r="A25" s="103"/>
      <c r="B25" s="104"/>
      <c r="C25" s="105"/>
      <c r="D25" s="96" t="s">
        <v>367</v>
      </c>
      <c r="E25" s="97" t="s">
        <v>383</v>
      </c>
      <c r="F25" s="106">
        <v>1</v>
      </c>
      <c r="G25" s="124"/>
      <c r="H25" s="100">
        <f t="shared" si="0"/>
        <v>0</v>
      </c>
      <c r="I25" s="107"/>
      <c r="J25" s="99">
        <f t="shared" si="1"/>
        <v>0</v>
      </c>
      <c r="K25" s="132"/>
    </row>
    <row r="26" spans="1:11" x14ac:dyDescent="0.4">
      <c r="A26" s="103"/>
      <c r="B26" s="104"/>
      <c r="C26" s="105"/>
      <c r="D26" s="96" t="s">
        <v>489</v>
      </c>
      <c r="E26" s="97" t="s">
        <v>383</v>
      </c>
      <c r="F26" s="106">
        <v>12</v>
      </c>
      <c r="G26" s="124"/>
      <c r="H26" s="100">
        <f t="shared" si="0"/>
        <v>0</v>
      </c>
      <c r="I26" s="107"/>
      <c r="J26" s="99">
        <f t="shared" si="1"/>
        <v>0</v>
      </c>
      <c r="K26" s="132"/>
    </row>
    <row r="27" spans="1:11" x14ac:dyDescent="0.4">
      <c r="A27" s="103"/>
      <c r="B27" s="104"/>
      <c r="C27" s="105"/>
      <c r="D27" s="96" t="s">
        <v>490</v>
      </c>
      <c r="E27" s="97" t="s">
        <v>383</v>
      </c>
      <c r="F27" s="106">
        <v>25</v>
      </c>
      <c r="G27" s="124"/>
      <c r="H27" s="100">
        <f t="shared" si="0"/>
        <v>0</v>
      </c>
      <c r="I27" s="107"/>
      <c r="J27" s="99">
        <f t="shared" si="1"/>
        <v>0</v>
      </c>
      <c r="K27" s="132"/>
    </row>
    <row r="28" spans="1:11" ht="25.75" x14ac:dyDescent="0.4">
      <c r="A28" s="103"/>
      <c r="B28" s="104"/>
      <c r="C28" s="105"/>
      <c r="D28" s="96" t="s">
        <v>368</v>
      </c>
      <c r="E28" s="97" t="s">
        <v>383</v>
      </c>
      <c r="F28" s="106">
        <v>2</v>
      </c>
      <c r="G28" s="124"/>
      <c r="H28" s="100">
        <f t="shared" si="0"/>
        <v>0</v>
      </c>
      <c r="I28" s="107"/>
      <c r="J28" s="99">
        <f t="shared" si="1"/>
        <v>0</v>
      </c>
      <c r="K28" s="132"/>
    </row>
    <row r="29" spans="1:11" ht="25.75" x14ac:dyDescent="0.4">
      <c r="A29" s="103"/>
      <c r="B29" s="104"/>
      <c r="C29" s="105"/>
      <c r="D29" s="96" t="s">
        <v>369</v>
      </c>
      <c r="E29" s="97" t="s">
        <v>383</v>
      </c>
      <c r="F29" s="106">
        <v>2</v>
      </c>
      <c r="G29" s="124"/>
      <c r="H29" s="100">
        <f t="shared" si="0"/>
        <v>0</v>
      </c>
      <c r="I29" s="107"/>
      <c r="J29" s="99">
        <f t="shared" si="1"/>
        <v>0</v>
      </c>
      <c r="K29" s="132"/>
    </row>
    <row r="30" spans="1:11" ht="25.75" x14ac:dyDescent="0.4">
      <c r="A30" s="103"/>
      <c r="B30" s="104"/>
      <c r="C30" s="105"/>
      <c r="D30" s="96" t="s">
        <v>370</v>
      </c>
      <c r="E30" s="97" t="s">
        <v>383</v>
      </c>
      <c r="F30" s="106">
        <v>1</v>
      </c>
      <c r="G30" s="124"/>
      <c r="H30" s="100">
        <f t="shared" si="0"/>
        <v>0</v>
      </c>
      <c r="I30" s="107"/>
      <c r="J30" s="99">
        <f t="shared" si="1"/>
        <v>0</v>
      </c>
      <c r="K30" s="132"/>
    </row>
    <row r="31" spans="1:11" ht="25.75" x14ac:dyDescent="0.4">
      <c r="A31" s="103"/>
      <c r="B31" s="104"/>
      <c r="C31" s="105"/>
      <c r="D31" s="96" t="s">
        <v>371</v>
      </c>
      <c r="E31" s="97" t="s">
        <v>383</v>
      </c>
      <c r="F31" s="106">
        <v>1</v>
      </c>
      <c r="G31" s="124"/>
      <c r="H31" s="100">
        <f t="shared" si="0"/>
        <v>0</v>
      </c>
      <c r="I31" s="107"/>
      <c r="J31" s="99">
        <f t="shared" si="1"/>
        <v>0</v>
      </c>
      <c r="K31" s="132"/>
    </row>
    <row r="32" spans="1:11" x14ac:dyDescent="0.4">
      <c r="A32" s="103"/>
      <c r="B32" s="104"/>
      <c r="C32" s="105"/>
      <c r="D32" s="96" t="s">
        <v>372</v>
      </c>
      <c r="E32" s="97" t="s">
        <v>383</v>
      </c>
      <c r="F32" s="106">
        <v>4</v>
      </c>
      <c r="G32" s="124"/>
      <c r="H32" s="100">
        <f t="shared" si="0"/>
        <v>0</v>
      </c>
      <c r="I32" s="107"/>
      <c r="J32" s="99">
        <f t="shared" si="1"/>
        <v>0</v>
      </c>
      <c r="K32" s="132"/>
    </row>
    <row r="33" spans="1:13" x14ac:dyDescent="0.4">
      <c r="A33" s="103"/>
      <c r="B33" s="104"/>
      <c r="C33" s="105"/>
      <c r="D33" s="96" t="s">
        <v>373</v>
      </c>
      <c r="E33" s="97" t="s">
        <v>383</v>
      </c>
      <c r="F33" s="106">
        <v>1</v>
      </c>
      <c r="G33" s="124"/>
      <c r="H33" s="100">
        <f t="shared" si="0"/>
        <v>0</v>
      </c>
      <c r="I33" s="107"/>
      <c r="J33" s="99">
        <f t="shared" si="1"/>
        <v>0</v>
      </c>
      <c r="K33" s="132"/>
    </row>
    <row r="34" spans="1:13" x14ac:dyDescent="0.4">
      <c r="A34" s="103"/>
      <c r="B34" s="104"/>
      <c r="C34" s="105"/>
      <c r="D34" s="96" t="s">
        <v>374</v>
      </c>
      <c r="E34" s="97" t="s">
        <v>383</v>
      </c>
      <c r="F34" s="106">
        <v>1</v>
      </c>
      <c r="G34" s="124"/>
      <c r="H34" s="100">
        <f t="shared" si="0"/>
        <v>0</v>
      </c>
      <c r="I34" s="107"/>
      <c r="J34" s="99">
        <f t="shared" si="1"/>
        <v>0</v>
      </c>
      <c r="K34" s="132"/>
      <c r="M34" s="108"/>
    </row>
    <row r="35" spans="1:13" x14ac:dyDescent="0.4">
      <c r="A35" s="103"/>
      <c r="B35" s="104"/>
      <c r="C35" s="105"/>
      <c r="D35" s="96" t="s">
        <v>375</v>
      </c>
      <c r="E35" s="97" t="s">
        <v>383</v>
      </c>
      <c r="F35" s="106">
        <v>1</v>
      </c>
      <c r="G35" s="124"/>
      <c r="H35" s="100">
        <f t="shared" si="0"/>
        <v>0</v>
      </c>
      <c r="I35" s="107"/>
      <c r="J35" s="99">
        <f t="shared" si="1"/>
        <v>0</v>
      </c>
      <c r="K35" s="132"/>
      <c r="M35" s="108"/>
    </row>
    <row r="36" spans="1:13" ht="25.75" x14ac:dyDescent="0.4">
      <c r="A36" s="103"/>
      <c r="B36" s="104"/>
      <c r="C36" s="105"/>
      <c r="D36" s="96" t="s">
        <v>488</v>
      </c>
      <c r="E36" s="97" t="s">
        <v>383</v>
      </c>
      <c r="F36" s="106">
        <v>1</v>
      </c>
      <c r="G36" s="124"/>
      <c r="H36" s="100">
        <f t="shared" si="0"/>
        <v>0</v>
      </c>
      <c r="I36" s="107"/>
      <c r="J36" s="99">
        <f t="shared" si="1"/>
        <v>0</v>
      </c>
      <c r="K36" s="132"/>
      <c r="M36" s="108"/>
    </row>
    <row r="37" spans="1:13" ht="38.15" x14ac:dyDescent="0.4">
      <c r="A37" s="103"/>
      <c r="B37" s="104"/>
      <c r="C37" s="105"/>
      <c r="D37" s="96" t="s">
        <v>487</v>
      </c>
      <c r="E37" s="97" t="s">
        <v>383</v>
      </c>
      <c r="F37" s="106">
        <v>1</v>
      </c>
      <c r="G37" s="124"/>
      <c r="H37" s="100">
        <f t="shared" si="0"/>
        <v>0</v>
      </c>
      <c r="I37" s="107"/>
      <c r="J37" s="99">
        <f t="shared" si="1"/>
        <v>0</v>
      </c>
      <c r="K37" s="132"/>
      <c r="M37" s="108"/>
    </row>
    <row r="38" spans="1:13" x14ac:dyDescent="0.4">
      <c r="A38" s="103"/>
      <c r="B38" s="104"/>
      <c r="C38" s="105"/>
      <c r="D38" s="96" t="s">
        <v>493</v>
      </c>
      <c r="E38" s="97" t="s">
        <v>383</v>
      </c>
      <c r="F38" s="106">
        <v>1</v>
      </c>
      <c r="G38" s="124"/>
      <c r="H38" s="100">
        <f t="shared" si="0"/>
        <v>0</v>
      </c>
      <c r="I38" s="107"/>
      <c r="J38" s="99">
        <f t="shared" si="1"/>
        <v>0</v>
      </c>
      <c r="K38" s="132"/>
    </row>
    <row r="39" spans="1:13" x14ac:dyDescent="0.4">
      <c r="A39" s="103"/>
      <c r="B39" s="104"/>
      <c r="C39" s="105"/>
      <c r="D39" s="96" t="s">
        <v>494</v>
      </c>
      <c r="E39" s="97" t="s">
        <v>383</v>
      </c>
      <c r="F39" s="106">
        <v>1</v>
      </c>
      <c r="G39" s="124"/>
      <c r="H39" s="100"/>
      <c r="I39" s="107">
        <f>G39</f>
        <v>0</v>
      </c>
      <c r="J39" s="99">
        <f t="shared" si="1"/>
        <v>0</v>
      </c>
      <c r="K39" s="132"/>
    </row>
    <row r="40" spans="1:13" x14ac:dyDescent="0.4">
      <c r="A40" s="103"/>
      <c r="B40" s="104"/>
      <c r="C40" s="105"/>
      <c r="D40" s="96" t="s">
        <v>376</v>
      </c>
      <c r="E40" s="97" t="s">
        <v>383</v>
      </c>
      <c r="F40" s="106">
        <v>1</v>
      </c>
      <c r="G40" s="124"/>
      <c r="H40" s="100">
        <f t="shared" si="0"/>
        <v>0</v>
      </c>
      <c r="I40" s="107"/>
      <c r="J40" s="99">
        <f t="shared" si="1"/>
        <v>0</v>
      </c>
      <c r="K40" s="132"/>
    </row>
    <row r="41" spans="1:13" x14ac:dyDescent="0.4">
      <c r="A41" s="103"/>
      <c r="B41" s="104"/>
      <c r="C41" s="105"/>
      <c r="D41" s="96" t="s">
        <v>377</v>
      </c>
      <c r="E41" s="97" t="s">
        <v>383</v>
      </c>
      <c r="F41" s="106">
        <v>3</v>
      </c>
      <c r="G41" s="124"/>
      <c r="H41" s="100">
        <f t="shared" si="0"/>
        <v>0</v>
      </c>
      <c r="I41" s="107"/>
      <c r="J41" s="99">
        <f t="shared" si="1"/>
        <v>0</v>
      </c>
      <c r="K41" s="132"/>
    </row>
    <row r="42" spans="1:13" x14ac:dyDescent="0.4">
      <c r="A42" s="109"/>
      <c r="B42" s="110"/>
      <c r="C42" s="111"/>
      <c r="D42" s="112" t="s">
        <v>465</v>
      </c>
      <c r="E42" s="113"/>
      <c r="F42" s="114"/>
      <c r="G42" s="125"/>
      <c r="H42" s="115">
        <f>SUM(H43:H46)</f>
        <v>0</v>
      </c>
      <c r="I42" s="114"/>
      <c r="J42" s="116">
        <f>SUM(J43:J46)</f>
        <v>0</v>
      </c>
      <c r="K42" s="133"/>
    </row>
    <row r="43" spans="1:13" x14ac:dyDescent="0.4">
      <c r="A43" s="103"/>
      <c r="B43" s="104"/>
      <c r="C43" s="105"/>
      <c r="D43" s="136" t="s">
        <v>472</v>
      </c>
      <c r="E43" s="97" t="s">
        <v>68</v>
      </c>
      <c r="F43" s="107">
        <f>15+5+7+8</f>
        <v>35</v>
      </c>
      <c r="G43" s="124"/>
      <c r="H43" s="100">
        <f>F43*G43</f>
        <v>0</v>
      </c>
      <c r="I43" s="107"/>
      <c r="J43" s="99">
        <f>H43+I43</f>
        <v>0</v>
      </c>
      <c r="K43" s="134"/>
    </row>
    <row r="44" spans="1:13" x14ac:dyDescent="0.4">
      <c r="A44" s="103"/>
      <c r="B44" s="104"/>
      <c r="C44" s="105"/>
      <c r="D44" s="136" t="s">
        <v>473</v>
      </c>
      <c r="E44" s="97" t="s">
        <v>68</v>
      </c>
      <c r="F44" s="107">
        <f>(15*5)+20+10</f>
        <v>105</v>
      </c>
      <c r="G44" s="124"/>
      <c r="H44" s="100">
        <f t="shared" ref="H44:H46" si="2">F44*G44</f>
        <v>0</v>
      </c>
      <c r="I44" s="107"/>
      <c r="J44" s="99">
        <f t="shared" ref="J44:J46" si="3">H44+I44</f>
        <v>0</v>
      </c>
      <c r="K44" s="134"/>
    </row>
    <row r="45" spans="1:13" x14ac:dyDescent="0.4">
      <c r="A45" s="103"/>
      <c r="B45" s="104"/>
      <c r="C45" s="105"/>
      <c r="D45" s="136" t="s">
        <v>474</v>
      </c>
      <c r="E45" s="97" t="s">
        <v>68</v>
      </c>
      <c r="F45" s="107">
        <f>7+9+11+12+15+15+(3*17)+15</f>
        <v>135</v>
      </c>
      <c r="G45" s="124"/>
      <c r="H45" s="100">
        <f t="shared" si="2"/>
        <v>0</v>
      </c>
      <c r="I45" s="107"/>
      <c r="J45" s="99">
        <f t="shared" si="3"/>
        <v>0</v>
      </c>
      <c r="K45" s="134"/>
    </row>
    <row r="46" spans="1:13" x14ac:dyDescent="0.4">
      <c r="A46" s="103"/>
      <c r="B46" s="104"/>
      <c r="C46" s="105"/>
      <c r="D46" s="96" t="s">
        <v>466</v>
      </c>
      <c r="E46" s="97" t="s">
        <v>68</v>
      </c>
      <c r="F46" s="107">
        <f>15+15</f>
        <v>30</v>
      </c>
      <c r="G46" s="124"/>
      <c r="H46" s="100">
        <f t="shared" si="2"/>
        <v>0</v>
      </c>
      <c r="I46" s="107"/>
      <c r="J46" s="99">
        <f t="shared" si="3"/>
        <v>0</v>
      </c>
      <c r="K46" s="134"/>
    </row>
    <row r="47" spans="1:13" x14ac:dyDescent="0.4">
      <c r="A47" s="109"/>
      <c r="B47" s="110"/>
      <c r="C47" s="111"/>
      <c r="D47" s="112" t="s">
        <v>253</v>
      </c>
      <c r="E47" s="113"/>
      <c r="F47" s="114"/>
      <c r="G47" s="125"/>
      <c r="H47" s="115">
        <f>SUM(H48:H53)</f>
        <v>0</v>
      </c>
      <c r="I47" s="114">
        <f>SUM(I48:I53)</f>
        <v>0</v>
      </c>
      <c r="J47" s="116">
        <f>SUM(J48:J53)</f>
        <v>0</v>
      </c>
      <c r="K47" s="133"/>
    </row>
    <row r="48" spans="1:13" x14ac:dyDescent="0.4">
      <c r="A48" s="103"/>
      <c r="B48" s="104"/>
      <c r="C48" s="105"/>
      <c r="D48" s="96" t="s">
        <v>467</v>
      </c>
      <c r="E48" s="97" t="s">
        <v>423</v>
      </c>
      <c r="F48" s="107">
        <v>25</v>
      </c>
      <c r="G48" s="124"/>
      <c r="H48" s="117"/>
      <c r="I48" s="107">
        <f>F48*G48</f>
        <v>0</v>
      </c>
      <c r="J48" s="99">
        <f>H48+I48</f>
        <v>0</v>
      </c>
      <c r="K48" s="134"/>
    </row>
    <row r="49" spans="1:11" x14ac:dyDescent="0.4">
      <c r="A49" s="103"/>
      <c r="B49" s="104"/>
      <c r="C49" s="105"/>
      <c r="D49" s="96" t="s">
        <v>468</v>
      </c>
      <c r="E49" s="97" t="s">
        <v>423</v>
      </c>
      <c r="F49" s="107">
        <v>2</v>
      </c>
      <c r="G49" s="124"/>
      <c r="H49" s="117"/>
      <c r="I49" s="107">
        <f t="shared" ref="I49:I53" si="4">F49*G49</f>
        <v>0</v>
      </c>
      <c r="J49" s="99">
        <f t="shared" ref="J49:J53" si="5">H49+I49</f>
        <v>0</v>
      </c>
      <c r="K49" s="134"/>
    </row>
    <row r="50" spans="1:11" x14ac:dyDescent="0.4">
      <c r="A50" s="103"/>
      <c r="B50" s="104"/>
      <c r="C50" s="105"/>
      <c r="D50" s="96" t="s">
        <v>469</v>
      </c>
      <c r="E50" s="97" t="s">
        <v>423</v>
      </c>
      <c r="F50" s="107">
        <v>30</v>
      </c>
      <c r="G50" s="124"/>
      <c r="H50" s="117"/>
      <c r="I50" s="107">
        <f t="shared" si="4"/>
        <v>0</v>
      </c>
      <c r="J50" s="99">
        <f t="shared" si="5"/>
        <v>0</v>
      </c>
      <c r="K50" s="134"/>
    </row>
    <row r="51" spans="1:11" x14ac:dyDescent="0.4">
      <c r="A51" s="103"/>
      <c r="B51" s="104"/>
      <c r="C51" s="105"/>
      <c r="D51" s="96" t="s">
        <v>470</v>
      </c>
      <c r="E51" s="97" t="s">
        <v>423</v>
      </c>
      <c r="F51" s="107">
        <v>5</v>
      </c>
      <c r="G51" s="124"/>
      <c r="H51" s="117"/>
      <c r="I51" s="107">
        <f t="shared" si="4"/>
        <v>0</v>
      </c>
      <c r="J51" s="99">
        <f t="shared" si="5"/>
        <v>0</v>
      </c>
      <c r="K51" s="134"/>
    </row>
    <row r="52" spans="1:11" x14ac:dyDescent="0.4">
      <c r="A52" s="103"/>
      <c r="B52" s="104"/>
      <c r="C52" s="105"/>
      <c r="D52" s="121" t="s">
        <v>497</v>
      </c>
      <c r="E52" s="97" t="s">
        <v>383</v>
      </c>
      <c r="F52" s="107">
        <v>1</v>
      </c>
      <c r="G52" s="124"/>
      <c r="H52" s="117"/>
      <c r="I52" s="107">
        <f t="shared" si="4"/>
        <v>0</v>
      </c>
      <c r="J52" s="99">
        <f t="shared" si="5"/>
        <v>0</v>
      </c>
      <c r="K52" s="134"/>
    </row>
    <row r="53" spans="1:11" ht="15" thickBot="1" x14ac:dyDescent="0.45">
      <c r="A53" s="103"/>
      <c r="B53" s="104"/>
      <c r="C53" s="105"/>
      <c r="D53" s="118" t="s">
        <v>456</v>
      </c>
      <c r="E53" s="97" t="s">
        <v>383</v>
      </c>
      <c r="F53" s="107">
        <v>1</v>
      </c>
      <c r="G53" s="124"/>
      <c r="H53" s="128"/>
      <c r="I53" s="129">
        <f t="shared" si="4"/>
        <v>0</v>
      </c>
      <c r="J53" s="130">
        <f t="shared" si="5"/>
        <v>0</v>
      </c>
      <c r="K53" s="135"/>
    </row>
    <row r="54" spans="1:11" x14ac:dyDescent="0.4">
      <c r="H54" s="182">
        <f>H47+H42+H12</f>
        <v>0</v>
      </c>
      <c r="I54" s="182">
        <f>I47+I42+I12</f>
        <v>0</v>
      </c>
    </row>
    <row r="55" spans="1:11" x14ac:dyDescent="0.4">
      <c r="H55" s="119" t="s">
        <v>228</v>
      </c>
      <c r="I55" s="119"/>
      <c r="J55" s="120">
        <f>J47+J42+J12</f>
        <v>0</v>
      </c>
    </row>
  </sheetData>
  <mergeCells count="27">
    <mergeCell ref="A1:K1"/>
    <mergeCell ref="A2:C3"/>
    <mergeCell ref="D2:D3"/>
    <mergeCell ref="E2:F3"/>
    <mergeCell ref="G2:G3"/>
    <mergeCell ref="H2:H3"/>
    <mergeCell ref="I2:K3"/>
    <mergeCell ref="I6:K7"/>
    <mergeCell ref="A4:C5"/>
    <mergeCell ref="D4:D5"/>
    <mergeCell ref="E4:F5"/>
    <mergeCell ref="G4:G5"/>
    <mergeCell ref="H4:H5"/>
    <mergeCell ref="I4:K5"/>
    <mergeCell ref="A6:C7"/>
    <mergeCell ref="D6:D7"/>
    <mergeCell ref="E6:F7"/>
    <mergeCell ref="G6:G7"/>
    <mergeCell ref="H6:H7"/>
    <mergeCell ref="H10:J10"/>
    <mergeCell ref="K10:K11"/>
    <mergeCell ref="A8:C9"/>
    <mergeCell ref="D8:D9"/>
    <mergeCell ref="E8:F9"/>
    <mergeCell ref="G8:G9"/>
    <mergeCell ref="H8:H9"/>
    <mergeCell ref="I8:K9"/>
  </mergeCells>
  <pageMargins left="0.7" right="0.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workbookViewId="0">
      <selection activeCell="A24" sqref="A24:XFD24"/>
    </sheetView>
  </sheetViews>
  <sheetFormatPr defaultColWidth="12.15234375" defaultRowHeight="15" customHeight="1" x14ac:dyDescent="0.4"/>
  <cols>
    <col min="1" max="1" width="9.152343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15234375" customWidth="1"/>
    <col min="8" max="8" width="17.15234375" customWidth="1"/>
    <col min="9" max="9" width="22.84375" customWidth="1"/>
  </cols>
  <sheetData>
    <row r="1" spans="1:9" ht="54.75" customHeight="1" x14ac:dyDescent="0.4">
      <c r="A1" s="225" t="s">
        <v>281</v>
      </c>
      <c r="B1" s="226"/>
      <c r="C1" s="226"/>
      <c r="D1" s="226"/>
      <c r="E1" s="226"/>
      <c r="F1" s="226"/>
      <c r="G1" s="226"/>
      <c r="H1" s="226"/>
      <c r="I1" s="226"/>
    </row>
    <row r="2" spans="1:9" ht="14.6" x14ac:dyDescent="0.4">
      <c r="A2" s="227" t="s">
        <v>1</v>
      </c>
      <c r="B2" s="228"/>
      <c r="C2" s="233" t="str">
        <f>'Stavební rozpočet'!D2</f>
        <v>VŠB-TUO rekonstrukce laboratoře v budově CPIT</v>
      </c>
      <c r="D2" s="234"/>
      <c r="E2" s="224" t="s">
        <v>3</v>
      </c>
      <c r="F2" s="224" t="str">
        <f>'Stavební rozpočet'!J2</f>
        <v> </v>
      </c>
      <c r="G2" s="228"/>
      <c r="H2" s="224" t="s">
        <v>239</v>
      </c>
      <c r="I2" s="230" t="s">
        <v>236</v>
      </c>
    </row>
    <row r="3" spans="1:9" ht="25.5" customHeight="1" x14ac:dyDescent="0.4">
      <c r="A3" s="229"/>
      <c r="B3" s="185"/>
      <c r="C3" s="235"/>
      <c r="D3" s="235"/>
      <c r="E3" s="185"/>
      <c r="F3" s="185"/>
      <c r="G3" s="185"/>
      <c r="H3" s="185"/>
      <c r="I3" s="231"/>
    </row>
    <row r="4" spans="1:9" ht="14.6" x14ac:dyDescent="0.4">
      <c r="A4" s="222" t="s">
        <v>4</v>
      </c>
      <c r="B4" s="185"/>
      <c r="C4" s="184" t="str">
        <f>'Stavební rozpočet'!D4</f>
        <v>REKONSTRUKCE MÍSTNOSTI RD110</v>
      </c>
      <c r="D4" s="185"/>
      <c r="E4" s="184" t="s">
        <v>6</v>
      </c>
      <c r="F4" s="184" t="str">
        <f>'Stavební rozpočet'!J4</f>
        <v> </v>
      </c>
      <c r="G4" s="185"/>
      <c r="H4" s="184" t="s">
        <v>239</v>
      </c>
      <c r="I4" s="231" t="s">
        <v>236</v>
      </c>
    </row>
    <row r="5" spans="1:9" ht="15" customHeight="1" x14ac:dyDescent="0.4">
      <c r="A5" s="229"/>
      <c r="B5" s="185"/>
      <c r="C5" s="185"/>
      <c r="D5" s="185"/>
      <c r="E5" s="185"/>
      <c r="F5" s="185"/>
      <c r="G5" s="185"/>
      <c r="H5" s="185"/>
      <c r="I5" s="231"/>
    </row>
    <row r="6" spans="1:9" ht="14.6" x14ac:dyDescent="0.4">
      <c r="A6" s="222" t="s">
        <v>7</v>
      </c>
      <c r="B6" s="185"/>
      <c r="C6" s="184" t="str">
        <f>'Stavební rozpočet'!D6</f>
        <v>17. listopadu 2172/15, 708 00 Ostrava - Poruba</v>
      </c>
      <c r="D6" s="185"/>
      <c r="E6" s="184" t="s">
        <v>9</v>
      </c>
      <c r="F6" s="184" t="str">
        <f>'Stavební rozpočet'!J6</f>
        <v> </v>
      </c>
      <c r="G6" s="185"/>
      <c r="H6" s="184" t="s">
        <v>239</v>
      </c>
      <c r="I6" s="231" t="s">
        <v>236</v>
      </c>
    </row>
    <row r="7" spans="1:9" ht="15" customHeight="1" x14ac:dyDescent="0.4">
      <c r="A7" s="229"/>
      <c r="B7" s="185"/>
      <c r="C7" s="185"/>
      <c r="D7" s="185"/>
      <c r="E7" s="185"/>
      <c r="F7" s="185"/>
      <c r="G7" s="185"/>
      <c r="H7" s="185"/>
      <c r="I7" s="231"/>
    </row>
    <row r="8" spans="1:9" ht="14.6" x14ac:dyDescent="0.4">
      <c r="A8" s="222" t="s">
        <v>5</v>
      </c>
      <c r="B8" s="185"/>
      <c r="C8" s="184"/>
      <c r="D8" s="185"/>
      <c r="E8" s="184" t="s">
        <v>8</v>
      </c>
      <c r="F8" s="184" t="str">
        <f>'Stavební rozpočet'!H6</f>
        <v xml:space="preserve"> </v>
      </c>
      <c r="G8" s="185"/>
      <c r="H8" s="185" t="s">
        <v>240</v>
      </c>
      <c r="I8" s="232">
        <v>84</v>
      </c>
    </row>
    <row r="9" spans="1:9" ht="14.6" x14ac:dyDescent="0.4">
      <c r="A9" s="229"/>
      <c r="B9" s="185"/>
      <c r="C9" s="185"/>
      <c r="D9" s="185"/>
      <c r="E9" s="185"/>
      <c r="F9" s="185"/>
      <c r="G9" s="185"/>
      <c r="H9" s="185"/>
      <c r="I9" s="231"/>
    </row>
    <row r="10" spans="1:9" ht="14.6" x14ac:dyDescent="0.4">
      <c r="A10" s="222" t="s">
        <v>10</v>
      </c>
      <c r="B10" s="185"/>
      <c r="C10" s="184" t="str">
        <f>'Stavební rozpočet'!D8</f>
        <v xml:space="preserve"> </v>
      </c>
      <c r="D10" s="185"/>
      <c r="E10" s="184" t="s">
        <v>12</v>
      </c>
      <c r="F10" s="184" t="str">
        <f>'Stavební rozpočet'!J8</f>
        <v> </v>
      </c>
      <c r="G10" s="185"/>
      <c r="H10" s="185" t="s">
        <v>241</v>
      </c>
      <c r="I10" s="216"/>
    </row>
    <row r="11" spans="1:9" ht="14.6" x14ac:dyDescent="0.4">
      <c r="A11" s="223"/>
      <c r="B11" s="221"/>
      <c r="C11" s="221"/>
      <c r="D11" s="221"/>
      <c r="E11" s="221"/>
      <c r="F11" s="221"/>
      <c r="G11" s="221"/>
      <c r="H11" s="221"/>
      <c r="I11" s="217"/>
    </row>
    <row r="13" spans="1:9" ht="15.45" x14ac:dyDescent="0.4">
      <c r="A13" s="297" t="s">
        <v>282</v>
      </c>
      <c r="B13" s="297"/>
      <c r="C13" s="297"/>
      <c r="D13" s="297"/>
      <c r="E13" s="297"/>
    </row>
    <row r="14" spans="1:9" ht="14.6" x14ac:dyDescent="0.4">
      <c r="A14" s="298" t="s">
        <v>283</v>
      </c>
      <c r="B14" s="299"/>
      <c r="C14" s="299"/>
      <c r="D14" s="299"/>
      <c r="E14" s="300"/>
      <c r="F14" s="42" t="s">
        <v>284</v>
      </c>
      <c r="G14" s="42" t="s">
        <v>71</v>
      </c>
      <c r="H14" s="42" t="s">
        <v>285</v>
      </c>
      <c r="I14" s="42" t="s">
        <v>284</v>
      </c>
    </row>
    <row r="15" spans="1:9" ht="14.6" x14ac:dyDescent="0.4">
      <c r="A15" s="285" t="s">
        <v>251</v>
      </c>
      <c r="B15" s="286"/>
      <c r="C15" s="286"/>
      <c r="D15" s="286"/>
      <c r="E15" s="287"/>
      <c r="F15" s="43">
        <v>0</v>
      </c>
      <c r="G15" s="44" t="s">
        <v>236</v>
      </c>
      <c r="H15" s="44" t="s">
        <v>236</v>
      </c>
      <c r="I15" s="43">
        <f>F15</f>
        <v>0</v>
      </c>
    </row>
    <row r="16" spans="1:9" ht="14.6" x14ac:dyDescent="0.4">
      <c r="A16" s="285" t="s">
        <v>254</v>
      </c>
      <c r="B16" s="286"/>
      <c r="C16" s="286"/>
      <c r="D16" s="286"/>
      <c r="E16" s="287"/>
      <c r="F16" s="43">
        <v>0</v>
      </c>
      <c r="G16" s="44" t="s">
        <v>236</v>
      </c>
      <c r="H16" s="44" t="s">
        <v>236</v>
      </c>
      <c r="I16" s="43">
        <f>F16</f>
        <v>0</v>
      </c>
    </row>
    <row r="17" spans="1:9" ht="14.6" x14ac:dyDescent="0.4">
      <c r="A17" s="288" t="s">
        <v>286</v>
      </c>
      <c r="B17" s="289"/>
      <c r="C17" s="289"/>
      <c r="D17" s="289"/>
      <c r="E17" s="290"/>
      <c r="F17" s="47" t="s">
        <v>236</v>
      </c>
      <c r="G17" s="48" t="s">
        <v>236</v>
      </c>
      <c r="H17" s="48" t="s">
        <v>236</v>
      </c>
      <c r="I17" s="49">
        <f>SUM(I15:I16)</f>
        <v>0</v>
      </c>
    </row>
    <row r="19" spans="1:9" ht="14.6" x14ac:dyDescent="0.4">
      <c r="A19" s="298" t="s">
        <v>248</v>
      </c>
      <c r="B19" s="299"/>
      <c r="C19" s="299"/>
      <c r="D19" s="299"/>
      <c r="E19" s="300"/>
      <c r="F19" s="42" t="s">
        <v>284</v>
      </c>
      <c r="G19" s="42" t="s">
        <v>71</v>
      </c>
      <c r="H19" s="42" t="s">
        <v>285</v>
      </c>
      <c r="I19" s="42" t="s">
        <v>284</v>
      </c>
    </row>
    <row r="20" spans="1:9" ht="14.6" x14ac:dyDescent="0.4">
      <c r="A20" s="285" t="s">
        <v>252</v>
      </c>
      <c r="B20" s="286"/>
      <c r="C20" s="286"/>
      <c r="D20" s="286"/>
      <c r="E20" s="287"/>
      <c r="F20" s="43">
        <v>0</v>
      </c>
      <c r="G20" s="44" t="s">
        <v>236</v>
      </c>
      <c r="H20" s="44" t="s">
        <v>236</v>
      </c>
      <c r="I20" s="43">
        <f t="shared" ref="I20:I23" si="0">F20</f>
        <v>0</v>
      </c>
    </row>
    <row r="21" spans="1:9" ht="14.6" x14ac:dyDescent="0.4">
      <c r="A21" s="285" t="s">
        <v>255</v>
      </c>
      <c r="B21" s="286"/>
      <c r="C21" s="286"/>
      <c r="D21" s="286"/>
      <c r="E21" s="287"/>
      <c r="F21" s="43">
        <v>0</v>
      </c>
      <c r="G21" s="44" t="s">
        <v>236</v>
      </c>
      <c r="H21" s="44" t="s">
        <v>236</v>
      </c>
      <c r="I21" s="43">
        <f t="shared" si="0"/>
        <v>0</v>
      </c>
    </row>
    <row r="22" spans="1:9" ht="14.6" x14ac:dyDescent="0.4">
      <c r="A22" s="285" t="s">
        <v>257</v>
      </c>
      <c r="B22" s="286"/>
      <c r="C22" s="286"/>
      <c r="D22" s="286"/>
      <c r="E22" s="287"/>
      <c r="F22" s="43">
        <v>0</v>
      </c>
      <c r="G22" s="44" t="s">
        <v>236</v>
      </c>
      <c r="H22" s="44" t="s">
        <v>236</v>
      </c>
      <c r="I22" s="43">
        <f t="shared" si="0"/>
        <v>0</v>
      </c>
    </row>
    <row r="23" spans="1:9" thickBot="1" x14ac:dyDescent="0.45">
      <c r="A23" s="285" t="s">
        <v>259</v>
      </c>
      <c r="B23" s="286"/>
      <c r="C23" s="286"/>
      <c r="D23" s="286"/>
      <c r="E23" s="287"/>
      <c r="F23" s="43">
        <v>0</v>
      </c>
      <c r="G23" s="44" t="s">
        <v>236</v>
      </c>
      <c r="H23" s="44" t="s">
        <v>236</v>
      </c>
      <c r="I23" s="43">
        <f t="shared" si="0"/>
        <v>0</v>
      </c>
    </row>
    <row r="24" spans="1:9" thickBot="1" x14ac:dyDescent="0.45">
      <c r="A24" s="288" t="s">
        <v>287</v>
      </c>
      <c r="B24" s="289"/>
      <c r="C24" s="289"/>
      <c r="D24" s="289"/>
      <c r="E24" s="290"/>
      <c r="F24" s="47" t="s">
        <v>236</v>
      </c>
      <c r="G24" s="48" t="s">
        <v>236</v>
      </c>
      <c r="H24" s="48" t="s">
        <v>236</v>
      </c>
      <c r="I24" s="49">
        <f>SUM(I20:I23)</f>
        <v>0</v>
      </c>
    </row>
    <row r="26" spans="1:9" ht="15.45" x14ac:dyDescent="0.4">
      <c r="A26" s="291" t="s">
        <v>288</v>
      </c>
      <c r="B26" s="292"/>
      <c r="C26" s="292"/>
      <c r="D26" s="292"/>
      <c r="E26" s="293"/>
      <c r="F26" s="294">
        <f>I17+I24</f>
        <v>0</v>
      </c>
      <c r="G26" s="295"/>
      <c r="H26" s="295"/>
      <c r="I26" s="296"/>
    </row>
    <row r="30" spans="1:9" ht="15.45" x14ac:dyDescent="0.4">
      <c r="A30" s="297" t="s">
        <v>289</v>
      </c>
      <c r="B30" s="297"/>
      <c r="C30" s="297"/>
      <c r="D30" s="297"/>
      <c r="E30" s="297"/>
    </row>
    <row r="31" spans="1:9" ht="14.6" x14ac:dyDescent="0.4">
      <c r="A31" s="298" t="s">
        <v>290</v>
      </c>
      <c r="B31" s="299"/>
      <c r="C31" s="299"/>
      <c r="D31" s="299"/>
      <c r="E31" s="300"/>
      <c r="F31" s="42" t="s">
        <v>284</v>
      </c>
      <c r="G31" s="42" t="s">
        <v>71</v>
      </c>
      <c r="H31" s="42" t="s">
        <v>285</v>
      </c>
      <c r="I31" s="42" t="s">
        <v>284</v>
      </c>
    </row>
    <row r="32" spans="1:9" ht="14.6" x14ac:dyDescent="0.4">
      <c r="A32" s="301" t="s">
        <v>498</v>
      </c>
      <c r="B32" s="302"/>
      <c r="C32" s="302"/>
      <c r="D32" s="302"/>
      <c r="E32" s="303"/>
      <c r="F32" s="45"/>
      <c r="G32" s="46" t="s">
        <v>236</v>
      </c>
      <c r="H32" s="46" t="s">
        <v>236</v>
      </c>
      <c r="I32" s="45">
        <f>F32</f>
        <v>0</v>
      </c>
    </row>
    <row r="33" spans="1:9" ht="14.6" x14ac:dyDescent="0.4">
      <c r="A33" s="288" t="s">
        <v>291</v>
      </c>
      <c r="B33" s="289"/>
      <c r="C33" s="289"/>
      <c r="D33" s="289"/>
      <c r="E33" s="290"/>
      <c r="F33" s="47" t="s">
        <v>236</v>
      </c>
      <c r="G33" s="48" t="s">
        <v>236</v>
      </c>
      <c r="H33" s="48" t="s">
        <v>236</v>
      </c>
      <c r="I33" s="49">
        <f>SUM(I32:I32)</f>
        <v>0</v>
      </c>
    </row>
  </sheetData>
  <mergeCells count="48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9:E19"/>
    <mergeCell ref="A20:E20"/>
    <mergeCell ref="A21:E21"/>
    <mergeCell ref="A22:E22"/>
    <mergeCell ref="A23:E23"/>
    <mergeCell ref="A24:E24"/>
    <mergeCell ref="A33:E33"/>
    <mergeCell ref="A26:E26"/>
    <mergeCell ref="F26:I26"/>
    <mergeCell ref="A30:E30"/>
    <mergeCell ref="A31:E31"/>
    <mergeCell ref="A32:E32"/>
  </mergeCells>
  <pageMargins left="0.393999993801117" right="0.393999993801117" top="0.59100002050399802" bottom="0.591000020503998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Krycí list rozpočtu</vt:lpstr>
      <vt:lpstr>Stavební rozpočet - součet</vt:lpstr>
      <vt:lpstr>Stavební rozpočet</vt:lpstr>
      <vt:lpstr> VZT </vt:lpstr>
      <vt:lpstr>Vybavení laboratoře</vt:lpstr>
      <vt:lpstr>ELektro MAR 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Burdová</cp:lastModifiedBy>
  <cp:lastPrinted>2025-11-19T07:40:47Z</cp:lastPrinted>
  <dcterms:created xsi:type="dcterms:W3CDTF">2021-06-10T20:06:38Z</dcterms:created>
  <dcterms:modified xsi:type="dcterms:W3CDTF">2026-03-30T11:50:11Z</dcterms:modified>
</cp:coreProperties>
</file>